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0.xml"/>
  <Override ContentType="application/vnd.openxmlformats-officedocument.spreadsheetml.worksheet+xml" PartName="/xl/worksheets/sheet11.xml"/>
  <Override ContentType="application/vnd.openxmlformats-officedocument.spreadsheetml.worksheet+xml" PartName="/xl/worksheets/sheet12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6.xml"/>
  <Override ContentType="application/vnd.openxmlformats-officedocument.spreadsheetml.worksheet+xml" PartName="/xl/worksheets/sheet9.xml"/>
  <Override ContentType="application/vnd.openxmlformats-officedocument.spreadsheetml.worksheet+xml" PartName="/xl/worksheets/sheet8.xml"/>
  <Override ContentType="application/vnd.openxmlformats-officedocument.spreadsheetml.worksheet+xml" PartName="/xl/worksheets/sheet7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10.xml"/>
  <Override ContentType="application/vnd.openxmlformats-officedocument.drawing+xml" PartName="/xl/drawings/drawing9.xml"/>
  <Override ContentType="application/vnd.openxmlformats-officedocument.drawing+xml" PartName="/xl/drawings/drawing8.xml"/>
  <Override ContentType="application/vnd.openxmlformats-officedocument.drawing+xml" PartName="/xl/drawings/drawing3.xml"/>
  <Override ContentType="application/vnd.openxmlformats-officedocument.drawing+xml" PartName="/xl/drawings/drawing6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12.xml"/>
  <Override ContentType="application/vnd.openxmlformats-officedocument.drawing+xml" PartName="/xl/drawings/drawing7.xml"/>
  <Override ContentType="application/vnd.openxmlformats-officedocument.drawing+xml" PartName="/xl/drawings/drawing2.xml"/>
  <Override ContentType="application/vnd.openxmlformats-officedocument.drawing+xml" PartName="/xl/drawings/drawing1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Budget" sheetId="1" r:id="rId3"/>
    <sheet state="visible" name="Sheet2" sheetId="2" r:id="rId4"/>
    <sheet state="visible" name="Regnskab" sheetId="3" r:id="rId5"/>
    <sheet state="visible" name="Eksternt Ophold på Cambridge Un" sheetId="4" r:id="rId6"/>
    <sheet state="visible" name="Budget til William Demant (mlg@" sheetId="5" r:id="rId7"/>
    <sheet state="visible" name="Budget til Otto Mønsted fonden " sheetId="6" r:id="rId8"/>
    <sheet state="visible" name="MLSP2019 - Budget til Otto Møns" sheetId="7" r:id="rId9"/>
    <sheet state="visible" name="MLSP2019 - Regnskab" sheetId="8" r:id="rId10"/>
    <sheet state="visible" name="MLSP2019 - Budget til William D" sheetId="9" r:id="rId11"/>
    <sheet state="visible" name="Budget til Stibo fonden (mlg@ca" sheetId="10" r:id="rId12"/>
    <sheet state="visible" name="Regnskab til Stibo fonden (mlg@" sheetId="11" r:id="rId13"/>
    <sheet state="visible" name="Accomodation search" sheetId="12" r:id="rId14"/>
  </sheets>
  <definedNames/>
  <calcPr/>
</workbook>
</file>

<file path=xl/sharedStrings.xml><?xml version="1.0" encoding="utf-8"?>
<sst xmlns="http://schemas.openxmlformats.org/spreadsheetml/2006/main" count="535" uniqueCount="218">
  <si>
    <t>ICML Expense / Type</t>
  </si>
  <si>
    <t>Date</t>
  </si>
  <si>
    <t>Justification</t>
  </si>
  <si>
    <t>Amount</t>
  </si>
  <si>
    <t>Split</t>
  </si>
  <si>
    <t>transport</t>
  </si>
  <si>
    <t>Travel Expenses</t>
  </si>
  <si>
    <t>diesel out</t>
  </si>
  <si>
    <t>Equip. Expenses</t>
  </si>
  <si>
    <t>Deadline</t>
  </si>
  <si>
    <t>Summer school in SE</t>
  </si>
  <si>
    <t>MacBook Pro 15" 2017</t>
  </si>
  <si>
    <t>ICML-2018 Reg. Fee</t>
  </si>
  <si>
    <t>ICML-2018 Cost</t>
  </si>
  <si>
    <t>ICML-2018 Travel</t>
  </si>
  <si>
    <t>MNE-2018 Reg. Fee</t>
  </si>
  <si>
    <t>MLSS S.Afr. Reg. fee</t>
  </si>
  <si>
    <t>diesel in</t>
  </si>
  <si>
    <t>ferry Helsingør-Helsingborg</t>
  </si>
  <si>
    <t>MLSS S.Afr. Costs</t>
  </si>
  <si>
    <t>ferry Helsingborg-Helsingør</t>
  </si>
  <si>
    <t>parking</t>
  </si>
  <si>
    <t>parking at Stokholmsmässan</t>
  </si>
  <si>
    <t>3656,12</t>
  </si>
  <si>
    <t>MLSS S.Afr. Travel (t/r)</t>
  </si>
  <si>
    <t>MLSS S.Afr. Hotel</t>
  </si>
  <si>
    <t>hotel</t>
  </si>
  <si>
    <t>Clarion Collection Hotel Slottsparken, Linköping (1 overnight stay in 4-bed room on the way to Stockholm)</t>
  </si>
  <si>
    <t>Insurance</t>
  </si>
  <si>
    <t>Equipment for external stay</t>
  </si>
  <si>
    <t>cleaning</t>
  </si>
  <si>
    <t>200 kr. dagligt</t>
  </si>
  <si>
    <t>4 month external stay daily cost</t>
  </si>
  <si>
    <t xml:space="preserve">Car wash </t>
  </si>
  <si>
    <t>Conference attendance</t>
  </si>
  <si>
    <t>External stay travel</t>
  </si>
  <si>
    <t>DLRLSS Canada Reg. fee</t>
  </si>
  <si>
    <t>DLRLSS Canada Costs</t>
  </si>
  <si>
    <t>DLRLSS Canada Travel (t/r)</t>
  </si>
  <si>
    <t>Total</t>
  </si>
  <si>
    <t>Bench fee</t>
  </si>
  <si>
    <t>diesel in sweden</t>
  </si>
  <si>
    <t>Total (Project 10566)</t>
  </si>
  <si>
    <t>X-11.1 (Travels)</t>
  </si>
  <si>
    <t>X-12 (Equipment)</t>
  </si>
  <si>
    <t>Funding</t>
  </si>
  <si>
    <t>Otto Mønsted (present at conf.)</t>
  </si>
  <si>
    <t>Oticon (legat for ext. stay)</t>
  </si>
  <si>
    <t>Otto Mønsted (External stay)</t>
  </si>
  <si>
    <t>1 Juli. 2 months before</t>
  </si>
  <si>
    <t>BUDGET</t>
  </si>
  <si>
    <t>Stibofondens rejselegat</t>
  </si>
  <si>
    <t>Up to 100000 kr.</t>
  </si>
  <si>
    <t>https://stibofonden.dk/it-rejsestipendium/</t>
  </si>
  <si>
    <t>Expenses</t>
  </si>
  <si>
    <t>Budget for PhD external stay at MLG, University of Cambridge</t>
  </si>
  <si>
    <t>Net Cost</t>
  </si>
  <si>
    <t>PhD Student:</t>
  </si>
  <si>
    <t>Monthly Cost</t>
  </si>
  <si>
    <t>Weekly Cost</t>
  </si>
  <si>
    <t>Daily Cost</t>
  </si>
  <si>
    <t>Maximillian Fornitz Vording</t>
  </si>
  <si>
    <t>Time measures</t>
  </si>
  <si>
    <t>Set time</t>
  </si>
  <si>
    <t>Accomodation in Cambridge (single room in shared house)</t>
  </si>
  <si>
    <t>Time for external stay</t>
  </si>
  <si>
    <t>Set date/time</t>
  </si>
  <si>
    <t>Start date</t>
  </si>
  <si>
    <t>Room rent in Copenhagen</t>
  </si>
  <si>
    <t>End date</t>
  </si>
  <si>
    <t>Insurance (Covered by Europæiske ERV)</t>
  </si>
  <si>
    <t>Days</t>
  </si>
  <si>
    <t xml:space="preserve">Travel (flight + train CPH-CBD) </t>
  </si>
  <si>
    <t>Work days</t>
  </si>
  <si>
    <t>Bench fee for visiting student at University of Cambridge</t>
  </si>
  <si>
    <t>Weeks</t>
  </si>
  <si>
    <t>Months</t>
  </si>
  <si>
    <t xml:space="preserve"> </t>
  </si>
  <si>
    <t>Equipment for external stay (2 screens+keyboard+mouse)</t>
  </si>
  <si>
    <t>Living cost (Covered by own DTU budget)</t>
  </si>
  <si>
    <t xml:space="preserve">Travel (train CPH-CBD) </t>
  </si>
  <si>
    <t>Accomodation in Cambridge</t>
  </si>
  <si>
    <t>Net Cost (DKK)</t>
  </si>
  <si>
    <t>Monthly Cost (DKK)</t>
  </si>
  <si>
    <t>Weekly Cost (DKK)</t>
  </si>
  <si>
    <t>Daily Cost (DKK)</t>
  </si>
  <si>
    <t xml:space="preserve">Daily travel by train or bus in Cambridge </t>
  </si>
  <si>
    <t>Accomodation rent in Copenhagen</t>
  </si>
  <si>
    <t xml:space="preserve">Travel (flight + train CPH-CBD 2-ways) </t>
  </si>
  <si>
    <t>Bench fee for visiting students at University of Cambridge</t>
  </si>
  <si>
    <t>Bench fee (500GBP) for visiting students at University of Cambridge</t>
  </si>
  <si>
    <t>Own Coverage</t>
  </si>
  <si>
    <t>Net Coverage</t>
  </si>
  <si>
    <t>Monthly Coverage</t>
  </si>
  <si>
    <t>Weekly Coverage</t>
  </si>
  <si>
    <t>Daily Coverage</t>
  </si>
  <si>
    <t>Living cost, food, etc.</t>
  </si>
  <si>
    <t>Project 01 NAMEC II Kogsys: 10566 - Drift X.10</t>
  </si>
  <si>
    <t>Living cost, food, UK internet and phone connection</t>
  </si>
  <si>
    <t>Extra cost for accomodation in Cambridge compared to Copenhagen</t>
  </si>
  <si>
    <t>Balance without external funding</t>
  </si>
  <si>
    <t>Total (DKK)</t>
  </si>
  <si>
    <t>Net Coverage (DKK)</t>
  </si>
  <si>
    <t>Monthly Coverage (DKK)</t>
  </si>
  <si>
    <t>Weekly Coverage (DKK)</t>
  </si>
  <si>
    <t>Daily Coverage (DKK)</t>
  </si>
  <si>
    <t>Needed Funding</t>
  </si>
  <si>
    <t>Project 01 NAMEC II Kogsys: 10566 - Travels - X.11.1</t>
  </si>
  <si>
    <t>Funding applied for</t>
  </si>
  <si>
    <t>Realised funding</t>
  </si>
  <si>
    <t>Fraction granted</t>
  </si>
  <si>
    <t>Application Status</t>
  </si>
  <si>
    <t>Max. funding</t>
  </si>
  <si>
    <t>Application deadline</t>
  </si>
  <si>
    <t>3 Months ahead (before June 1)</t>
  </si>
  <si>
    <t>PhD Salary (Basistrin 4) after 37% taxes</t>
  </si>
  <si>
    <t>Balance with external funding</t>
  </si>
  <si>
    <t>Personal income</t>
  </si>
  <si>
    <t>Net Income</t>
  </si>
  <si>
    <t>Monthly Income</t>
  </si>
  <si>
    <t>External Funding</t>
  </si>
  <si>
    <t>Weekly Income</t>
  </si>
  <si>
    <t>Daily Income</t>
  </si>
  <si>
    <t>William Demant Fonden</t>
  </si>
  <si>
    <t>Salary after taxes</t>
  </si>
  <si>
    <t>Funding applied for (DKK)</t>
  </si>
  <si>
    <t>Realised funding (DKK)</t>
  </si>
  <si>
    <t>Otto Mønsted Fonden</t>
  </si>
  <si>
    <t>Sublet of apartment in Copenhagen</t>
  </si>
  <si>
    <t>Accomodation in Cambridge (single bedroom college or studio)</t>
  </si>
  <si>
    <t>_x0008_</t>
  </si>
  <si>
    <t>Balance with external funding (DKK)</t>
  </si>
  <si>
    <t>Budget for Attendance in Congress: IEEE MLSP 2019</t>
  </si>
  <si>
    <t>Exchange rate</t>
  </si>
  <si>
    <t>Currency</t>
  </si>
  <si>
    <t>USD</t>
  </si>
  <si>
    <t>DKK</t>
  </si>
  <si>
    <t>Budget for Attending and Presenting in Conference: IEEE MLSP 2019</t>
  </si>
  <si>
    <t>Expenses for Attendance in Congress: IEEE MLSP 2019</t>
  </si>
  <si>
    <t>maxvo@dtu.dk</t>
  </si>
  <si>
    <t>Period of stay</t>
  </si>
  <si>
    <t>Exchange Rate</t>
  </si>
  <si>
    <t>Insurance (Covered by Europæiske ERV Rejseforsikring)</t>
  </si>
  <si>
    <t>To currency</t>
  </si>
  <si>
    <t xml:space="preserve">Travel (flights LHR-PIT  PIT-LHR) </t>
  </si>
  <si>
    <t>From currency</t>
  </si>
  <si>
    <t>Non-member non-student attendance fee for IEEE MLSP 2019</t>
  </si>
  <si>
    <t>Living cost, food, phone US SIM w. data</t>
  </si>
  <si>
    <t>Accomodation (Hotel, Wyndham Pittsburgh University Center)</t>
  </si>
  <si>
    <t>GBP</t>
  </si>
  <si>
    <t>EUR</t>
  </si>
  <si>
    <t>IEEE SPS member student fee for IEEE MLSP 2019 + banquet dinner</t>
  </si>
  <si>
    <t>IEEE Membership (student) + IEEE SPS Membership</t>
  </si>
  <si>
    <t>IEEE Membership</t>
  </si>
  <si>
    <t>Equipment for Cambridge office (2 screens+keyboard+mouse)</t>
  </si>
  <si>
    <t>IEEE Journal publication charges</t>
  </si>
  <si>
    <t>ICML 2020 Conference attendance early-bird student fee</t>
  </si>
  <si>
    <t>STIBOFONDENs IT-rejsestipendie til ph.d. studerende</t>
  </si>
  <si>
    <t>Price</t>
  </si>
  <si>
    <t>Address</t>
  </si>
  <si>
    <t>Status</t>
  </si>
  <si>
    <t>Link</t>
  </si>
  <si>
    <t>Contact</t>
  </si>
  <si>
    <t>Bike time [min]</t>
  </si>
  <si>
    <t>20 Victoria Park</t>
  </si>
  <si>
    <t>Replied, wait answer</t>
  </si>
  <si>
    <t>https://www.accommodation.cam.ac.uk/Client/Property/70509/48118/Bedroom-3-20-Victoria-Park</t>
  </si>
  <si>
    <t>3 Burnt Cl, Grantchester</t>
  </si>
  <si>
    <t>Saw room, only vacant in sep.</t>
  </si>
  <si>
    <t>https://www.accommodation.cam.ac.uk/Client/Property/115922/48904/Bedroom-1-3-Burnt-Close</t>
  </si>
  <si>
    <t>Flight CPH-STN STN-CPH</t>
  </si>
  <si>
    <t>Bench fee (300GBP) for visiting students at University of Cambridge</t>
  </si>
  <si>
    <t xml:space="preserve">65 Glebe Rd, Cambridge CB1 7TF </t>
  </si>
  <si>
    <t>Sent, Reply, Accept before 5/8</t>
  </si>
  <si>
    <t>https://www.accommodation.cam.ac.uk/Client/Property/102043/49152/Bedroom-2-65-Glebe-Road</t>
  </si>
  <si>
    <t>Contact Dr A Arcangeli and Ms M Curran, Tel: 0044 (01223) 410883 (home), aarcangeli@hotmail.com</t>
  </si>
  <si>
    <t>27 Union Road</t>
  </si>
  <si>
    <t>Sent</t>
  </si>
  <si>
    <t>https://www.accommodation.cam.ac.uk/Client/Property/88174/48576/Bedroom-1-27-Union-Road</t>
  </si>
  <si>
    <t xml:space="preserve">Rent for room at 65 Glebe Rd, Cambridge CB1 7TF </t>
  </si>
  <si>
    <t>101 Thoday St, Cambridge CB1 3AT</t>
  </si>
  <si>
    <t>https://www.accommodation.cam.ac.uk/Client/Property/60493/48916/Bedroom-2-101-Thoday-Street</t>
  </si>
  <si>
    <t xml:space="preserve">Contact Mr P Rutter, Tel: (07847) 604616 (mobile), phil_rutter_@hotmail.com </t>
  </si>
  <si>
    <t>12 Stratfield Close, CB4 3NA</t>
  </si>
  <si>
    <t>Train Cambridge-Stansted Airport (both ways)</t>
  </si>
  <si>
    <t>https://www.accommodation.cam.ac.uk/Client/Property/75431/49042/First-floor-small-double-bedroom-12-Stratfield-Close</t>
  </si>
  <si>
    <t>Contact Mr P Ward, Tel: (1223) 504645 (home), argyledesign@gmx.com</t>
  </si>
  <si>
    <t>52 High Street, Chesterton</t>
  </si>
  <si>
    <t>https://www.accommodation.cam.ac.uk/Client/Property/24237/48535/Bedroom-3-first-floor-front-52-High-Street-Chesterton</t>
  </si>
  <si>
    <t>22 Valerian Ct, Fulbourn, Cambridge CB1 9YP</t>
  </si>
  <si>
    <t>https://www.accommodation.cam.ac.uk/Client/Property/128437/48878/Bedroom-3-large-single-22-Valerian-Court</t>
  </si>
  <si>
    <t>Otto Mønsted</t>
  </si>
  <si>
    <t>Contact Mrs J Agarwala, jaci_matos@hotmail.com</t>
  </si>
  <si>
    <t>98 Canterbury St,</t>
  </si>
  <si>
    <t>https://www.accommodation.cam.ac.uk/Client/Property/22446/48995/Bedroom-1---small-single-upstairs-back-98-Canterbury-Street</t>
  </si>
  <si>
    <t>Contact Mrs A King, Tel: 44 (07775) 804495 (mobile), alisonlking@gmail.com</t>
  </si>
  <si>
    <t>6 Blanford Walk, CB4 3NQ</t>
  </si>
  <si>
    <t>https://www.accommodation.cam.ac.uk/Client/Property/147130/48328/Bedroom-5-6-Blanford-Walk</t>
  </si>
  <si>
    <t>Contact Dr O. Cole, Tel: (07789) 431470 (mobile), oc219@cam.ac.uk</t>
  </si>
  <si>
    <t>CB433DQ</t>
  </si>
  <si>
    <t>Sent SMS</t>
  </si>
  <si>
    <t>https://www.accommodation.cam.ac.uk/Client/Property/104110/49071/Bedroom-4-upstairs-back-31-Alpha-Road</t>
  </si>
  <si>
    <t>Mrs I Bradley</t>
  </si>
  <si>
    <t>996.55/md</t>
  </si>
  <si>
    <t>39 Bailey Mews, Auckland Rd, Cambridge CB5 8DR</t>
  </si>
  <si>
    <t>Sent mail</t>
  </si>
  <si>
    <t>https://www.accommodation.cam.ac.uk/Client/Property/58260/48239/Small-Bedroom-39-Bailey-Mews</t>
  </si>
  <si>
    <t>Dr D Jachniak, Tel: 44 (0778) 5796725 (mobile), dj209@cam.ac.uk</t>
  </si>
  <si>
    <t>140 queen edith's way</t>
  </si>
  <si>
    <t>https://www.facebook.com/groups/camaccom/permalink/1403625883120904/?sale_post_id=1403625883120904</t>
  </si>
  <si>
    <t>200a Mill Road</t>
  </si>
  <si>
    <t>https://www.spareroom.co.uk/flatshare/flatshare_detail.pl?flatshare_id=13183870&amp;search_results=%2Fflatshare%2Fmythreads_beta.pl%3Fthread_id%3D2065803_13183870%26listing_restrict%3D%26offset%3D0%26show_deleted_too%3D%26label_id%3D%26only_unreplied%3D%26folder%3Dinbox%26sort%3D&amp;fbclid=IwAR1i0vJcxSvrq7uJzOm4iGEHcYwXWByXBeJYzvmphl9RDVJBNmImtMGlAOY</t>
  </si>
  <si>
    <t>41 Marlowe Road, CB3 9JW</t>
  </si>
  <si>
    <t>Chris Paul</t>
  </si>
  <si>
    <t>15 min bike</t>
  </si>
  <si>
    <t>24 Perne Road</t>
  </si>
  <si>
    <t>Mr A Joshi, a_joshiuk@yahoo.co.uk</t>
  </si>
  <si>
    <t>9 min bike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</si>
</sst>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3">
    <numFmt numFmtId="164" formatCode="dd-mm-yyyy"/>
    <numFmt numFmtId="165" formatCode="#,##0.00[$kr]"/>
    <numFmt numFmtId="166" formatCode="d/m"/>
  </numFmts>
  <fonts count="22">
    <font>
      <sz val="10.0"/>
      <color rgb="FF000000"/>
      <name val="Arial"/>
    </font>
    <font/>
    <font>
      <b/>
    </font>
    <font>
      <color rgb="FF000000"/>
      <name val="Arial"/>
    </font>
    <font>
      <color rgb="FF222222"/>
      <name val="Arial"/>
    </font>
    <font>
      <u/>
      <color rgb="FF0000FF"/>
    </font>
    <font>
      <sz val="18.0"/>
    </font>
    <font>
      <sz val="12.0"/>
    </font>
    <font>
      <color rgb="FF000000"/>
    </font>
    <font>
      <sz val="12.0"/>
      <color rgb="FF000000"/>
      <name val="Arial"/>
    </font>
    <font>
      <name val="Arial"/>
    </font>
    <font>
      <u/>
      <color rgb="FF0000FF"/>
    </font>
    <font>
      <sz val="12.0"/>
      <name val="Arial"/>
    </font>
    <font>
      <sz val="12.0"/>
      <name val="Serif"/>
    </font>
    <font>
      <b/>
      <name val="Arial"/>
    </font>
    <font>
      <strike/>
    </font>
    <font>
      <strike/>
      <color rgb="FF000000"/>
      <name val="Arial"/>
    </font>
    <font>
      <sz val="9.0"/>
      <color rgb="FF171717"/>
      <name val="Verdana"/>
    </font>
    <font>
      <sz val="9.0"/>
      <color rgb="FF8A00BC"/>
      <name val="Verdana"/>
    </font>
    <font>
      <u/>
      <color rgb="FF0000FF"/>
    </font>
    <font>
      <strike/>
      <color rgb="FF0000FF"/>
    </font>
    <font>
      <sz val="9.0"/>
      <color rgb="FF000000"/>
      <name val="Helvetica"/>
    </font>
  </fonts>
  <fills count="15">
    <fill>
      <patternFill patternType="none"/>
    </fill>
    <fill>
      <patternFill patternType="lightGray"/>
    </fill>
    <fill>
      <patternFill patternType="solid">
        <fgColor rgb="FFB7B7B7"/>
        <bgColor rgb="FFB7B7B7"/>
      </patternFill>
    </fill>
    <fill>
      <patternFill patternType="solid">
        <fgColor rgb="FFF3F3F3"/>
        <bgColor rgb="FFF3F3F3"/>
      </patternFill>
    </fill>
    <fill>
      <patternFill patternType="solid">
        <fgColor rgb="FFD9EAD3"/>
        <bgColor rgb="FFD9EAD3"/>
      </patternFill>
    </fill>
    <fill>
      <patternFill patternType="solid">
        <fgColor rgb="FFFFF2CC"/>
        <bgColor rgb="FFFFF2CC"/>
      </patternFill>
    </fill>
    <fill>
      <patternFill patternType="solid">
        <fgColor rgb="FFFFFFFF"/>
        <bgColor rgb="FFFFFFFF"/>
      </patternFill>
    </fill>
    <fill>
      <patternFill patternType="solid">
        <fgColor rgb="FFF4CCCC"/>
        <bgColor rgb="FFF4CCCC"/>
      </patternFill>
    </fill>
    <fill>
      <patternFill patternType="solid">
        <fgColor rgb="FFD9D9D9"/>
        <bgColor rgb="FFD9D9D9"/>
      </patternFill>
    </fill>
    <fill>
      <patternFill patternType="solid">
        <fgColor rgb="FFEFEFEF"/>
        <bgColor rgb="FFEFEFEF"/>
      </patternFill>
    </fill>
    <fill>
      <patternFill patternType="solid">
        <fgColor rgb="FFCCCCCC"/>
        <bgColor rgb="FFCCCCCC"/>
      </patternFill>
    </fill>
    <fill>
      <patternFill patternType="solid">
        <fgColor rgb="FFB6D7A8"/>
        <bgColor rgb="FFB6D7A8"/>
      </patternFill>
    </fill>
    <fill>
      <patternFill patternType="solid">
        <fgColor rgb="FF93C47D"/>
        <bgColor rgb="FF93C47D"/>
      </patternFill>
    </fill>
    <fill>
      <patternFill patternType="solid">
        <fgColor rgb="FFFFE599"/>
        <bgColor rgb="FFFFE599"/>
      </patternFill>
    </fill>
    <fill>
      <patternFill patternType="solid">
        <fgColor rgb="FFEBF8F1"/>
        <bgColor rgb="FFEBF8F1"/>
      </patternFill>
    </fill>
  </fills>
  <borders count="14">
    <border/>
    <border>
      <right style="thin">
        <color rgb="FF000000"/>
      </right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</borders>
  <cellStyleXfs count="1">
    <xf borderId="0" fillId="0" fontId="0" numFmtId="0" applyAlignment="1" applyFont="1"/>
  </cellStyleXfs>
  <cellXfs count="14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1" numFmtId="164" xfId="0" applyAlignment="1" applyFont="1" applyNumberFormat="1">
      <alignment readingOrder="0"/>
    </xf>
    <xf borderId="0" fillId="2" fontId="2" numFmtId="0" xfId="0" applyAlignment="1" applyFill="1" applyFont="1">
      <alignment readingOrder="0"/>
    </xf>
    <xf borderId="0" fillId="0" fontId="1" numFmtId="4" xfId="0" applyAlignment="1" applyFont="1" applyNumberFormat="1">
      <alignment readingOrder="0"/>
    </xf>
    <xf borderId="0" fillId="3" fontId="1" numFmtId="0" xfId="0" applyAlignment="1" applyFill="1" applyFont="1">
      <alignment readingOrder="0"/>
    </xf>
    <xf borderId="0" fillId="3" fontId="1" numFmtId="165" xfId="0" applyAlignment="1" applyFont="1" applyNumberFormat="1">
      <alignment readingOrder="0"/>
    </xf>
    <xf borderId="0" fillId="4" fontId="1" numFmtId="0" xfId="0" applyAlignment="1" applyFill="1" applyFont="1">
      <alignment readingOrder="0"/>
    </xf>
    <xf borderId="0" fillId="3" fontId="3" numFmtId="0" xfId="0" applyAlignment="1" applyFont="1">
      <alignment horizontal="left" readingOrder="0"/>
    </xf>
    <xf borderId="0" fillId="4" fontId="1" numFmtId="4" xfId="0" applyAlignment="1" applyFont="1" applyNumberFormat="1">
      <alignment readingOrder="0"/>
    </xf>
    <xf borderId="0" fillId="3" fontId="1" numFmtId="165" xfId="0" applyFont="1" applyNumberFormat="1"/>
    <xf borderId="0" fillId="0" fontId="1" numFmtId="4" xfId="0" applyFont="1" applyNumberFormat="1"/>
    <xf borderId="0" fillId="5" fontId="3" numFmtId="0" xfId="0" applyAlignment="1" applyFill="1" applyFont="1">
      <alignment horizontal="left" readingOrder="0"/>
    </xf>
    <xf borderId="0" fillId="5" fontId="1" numFmtId="0" xfId="0" applyAlignment="1" applyFont="1">
      <alignment readingOrder="0"/>
    </xf>
    <xf borderId="0" fillId="3" fontId="1" numFmtId="0" xfId="0" applyFont="1"/>
    <xf borderId="0" fillId="0" fontId="1" numFmtId="165" xfId="0" applyFont="1" applyNumberFormat="1"/>
    <xf borderId="0" fillId="3" fontId="1" numFmtId="4" xfId="0" applyAlignment="1" applyFont="1" applyNumberFormat="1">
      <alignment readingOrder="0"/>
    </xf>
    <xf borderId="0" fillId="4" fontId="3" numFmtId="0" xfId="0" applyAlignment="1" applyFont="1">
      <alignment horizontal="left" readingOrder="0"/>
    </xf>
    <xf borderId="0" fillId="6" fontId="4" numFmtId="0" xfId="0" applyAlignment="1" applyFill="1" applyFont="1">
      <alignment readingOrder="0"/>
    </xf>
    <xf borderId="0" fillId="7" fontId="1" numFmtId="0" xfId="0" applyAlignment="1" applyFill="1" applyFont="1">
      <alignment readingOrder="0"/>
    </xf>
    <xf borderId="0" fillId="6" fontId="4" numFmtId="4" xfId="0" applyAlignment="1" applyFont="1" applyNumberFormat="1">
      <alignment horizontal="right" readingOrder="0"/>
    </xf>
    <xf borderId="0" fillId="7" fontId="1" numFmtId="0" xfId="0" applyFont="1"/>
    <xf borderId="0" fillId="8" fontId="2" numFmtId="0" xfId="0" applyAlignment="1" applyFill="1" applyFont="1">
      <alignment readingOrder="0"/>
    </xf>
    <xf borderId="0" fillId="8" fontId="1" numFmtId="165" xfId="0" applyFont="1" applyNumberFormat="1"/>
    <xf borderId="0" fillId="8" fontId="1" numFmtId="3" xfId="0" applyFont="1" applyNumberFormat="1"/>
    <xf borderId="0" fillId="3" fontId="1" numFmtId="3" xfId="0" applyAlignment="1" applyFont="1" applyNumberFormat="1">
      <alignment readingOrder="0"/>
    </xf>
    <xf borderId="0" fillId="8" fontId="1" numFmtId="0" xfId="0" applyFont="1"/>
    <xf borderId="0" fillId="0" fontId="5" numFmtId="0" xfId="0" applyAlignment="1" applyFont="1">
      <alignment readingOrder="0"/>
    </xf>
    <xf borderId="0" fillId="0" fontId="1" numFmtId="3" xfId="0" applyFont="1" applyNumberFormat="1"/>
    <xf borderId="0" fillId="0" fontId="6" numFmtId="0" xfId="0" applyAlignment="1" applyFont="1">
      <alignment readingOrder="0"/>
    </xf>
    <xf borderId="0" fillId="0" fontId="6" numFmtId="0" xfId="0" applyFont="1"/>
    <xf borderId="1" fillId="2" fontId="2" numFmtId="0" xfId="0" applyAlignment="1" applyBorder="1" applyFont="1">
      <alignment readingOrder="0"/>
    </xf>
    <xf borderId="0" fillId="6" fontId="2" numFmtId="0" xfId="0" applyAlignment="1" applyFont="1">
      <alignment readingOrder="0"/>
    </xf>
    <xf borderId="2" fillId="2" fontId="2" numFmtId="0" xfId="0" applyAlignment="1" applyBorder="1" applyFont="1">
      <alignment readingOrder="0"/>
    </xf>
    <xf borderId="0" fillId="0" fontId="7" numFmtId="0" xfId="0" applyAlignment="1" applyFont="1">
      <alignment readingOrder="0"/>
    </xf>
    <xf borderId="3" fillId="2" fontId="2" numFmtId="0" xfId="0" applyAlignment="1" applyBorder="1" applyFont="1">
      <alignment readingOrder="0"/>
    </xf>
    <xf borderId="0" fillId="0" fontId="7" numFmtId="0" xfId="0" applyFont="1"/>
    <xf borderId="1" fillId="3" fontId="1" numFmtId="0" xfId="0" applyAlignment="1" applyBorder="1" applyFont="1">
      <alignment readingOrder="0"/>
    </xf>
    <xf borderId="0" fillId="6" fontId="1" numFmtId="0" xfId="0" applyAlignment="1" applyFont="1">
      <alignment readingOrder="0"/>
    </xf>
    <xf borderId="0" fillId="6" fontId="1" numFmtId="0" xfId="0" applyFont="1"/>
    <xf borderId="4" fillId="9" fontId="1" numFmtId="0" xfId="0" applyAlignment="1" applyBorder="1" applyFill="1" applyFont="1">
      <alignment readingOrder="0"/>
    </xf>
    <xf borderId="2" fillId="3" fontId="1" numFmtId="0" xfId="0" applyBorder="1" applyFont="1"/>
    <xf borderId="2" fillId="3" fontId="1" numFmtId="0" xfId="0" applyAlignment="1" applyBorder="1" applyFont="1">
      <alignment readingOrder="0"/>
    </xf>
    <xf borderId="2" fillId="3" fontId="8" numFmtId="0" xfId="0" applyAlignment="1" applyBorder="1" applyFont="1">
      <alignment readingOrder="0"/>
    </xf>
    <xf borderId="3" fillId="3" fontId="1" numFmtId="0" xfId="0" applyBorder="1" applyFont="1"/>
    <xf borderId="4" fillId="9" fontId="1" numFmtId="14" xfId="0" applyBorder="1" applyFont="1" applyNumberFormat="1"/>
    <xf borderId="0" fillId="0" fontId="1" numFmtId="14" xfId="0" applyFont="1" applyNumberFormat="1"/>
    <xf borderId="0" fillId="6" fontId="1" numFmtId="4" xfId="0" applyAlignment="1" applyFont="1" applyNumberFormat="1">
      <alignment readingOrder="0"/>
    </xf>
    <xf borderId="0" fillId="6" fontId="3" numFmtId="0" xfId="0" applyAlignment="1" applyFont="1">
      <alignment horizontal="left" readingOrder="0"/>
    </xf>
    <xf borderId="4" fillId="9" fontId="1" numFmtId="0" xfId="0" applyBorder="1" applyFont="1"/>
    <xf borderId="3" fillId="3" fontId="1" numFmtId="0" xfId="0" applyAlignment="1" applyBorder="1" applyFont="1">
      <alignment readingOrder="0"/>
    </xf>
    <xf borderId="2" fillId="3" fontId="1" numFmtId="4" xfId="0" applyBorder="1" applyFont="1" applyNumberFormat="1"/>
    <xf borderId="3" fillId="3" fontId="1" numFmtId="4" xfId="0" applyBorder="1" applyFont="1" applyNumberFormat="1"/>
    <xf borderId="1" fillId="8" fontId="1" numFmtId="0" xfId="0" applyAlignment="1" applyBorder="1" applyFont="1">
      <alignment readingOrder="0"/>
    </xf>
    <xf borderId="2" fillId="3" fontId="1" numFmtId="4" xfId="0" applyAlignment="1" applyBorder="1" applyFont="1" applyNumberFormat="1">
      <alignment readingOrder="0"/>
    </xf>
    <xf borderId="2" fillId="8" fontId="1" numFmtId="0" xfId="0" applyBorder="1" applyFont="1"/>
    <xf borderId="3" fillId="8" fontId="1" numFmtId="0" xfId="0" applyBorder="1" applyFont="1"/>
    <xf borderId="3" fillId="3" fontId="1" numFmtId="4" xfId="0" applyAlignment="1" applyBorder="1" applyFont="1" applyNumberFormat="1">
      <alignment readingOrder="0"/>
    </xf>
    <xf borderId="0" fillId="6" fontId="1" numFmtId="3" xfId="0" applyAlignment="1" applyFont="1" applyNumberFormat="1">
      <alignment readingOrder="0"/>
    </xf>
    <xf borderId="0" fillId="6" fontId="9" numFmtId="0" xfId="0" applyAlignment="1" applyFont="1">
      <alignment horizontal="left" readingOrder="0"/>
    </xf>
    <xf borderId="2" fillId="8" fontId="1" numFmtId="0" xfId="0" applyAlignment="1" applyBorder="1" applyFont="1">
      <alignment readingOrder="0"/>
    </xf>
    <xf borderId="1" fillId="0" fontId="1" numFmtId="0" xfId="0" applyBorder="1" applyFont="1"/>
    <xf borderId="2" fillId="3" fontId="8" numFmtId="4" xfId="0" applyAlignment="1" applyBorder="1" applyFont="1" applyNumberFormat="1">
      <alignment readingOrder="0"/>
    </xf>
    <xf borderId="2" fillId="0" fontId="1" numFmtId="0" xfId="0" applyBorder="1" applyFont="1"/>
    <xf borderId="3" fillId="0" fontId="1" numFmtId="0" xfId="0" applyBorder="1" applyFont="1"/>
    <xf borderId="1" fillId="10" fontId="1" numFmtId="0" xfId="0" applyAlignment="1" applyBorder="1" applyFill="1" applyFont="1">
      <alignment readingOrder="0"/>
    </xf>
    <xf borderId="2" fillId="8" fontId="1" numFmtId="4" xfId="0" applyBorder="1" applyFont="1" applyNumberFormat="1"/>
    <xf borderId="2" fillId="10" fontId="1" numFmtId="0" xfId="0" applyBorder="1" applyFont="1"/>
    <xf borderId="3" fillId="10" fontId="1" numFmtId="0" xfId="0" applyBorder="1" applyFont="1"/>
    <xf borderId="1" fillId="3" fontId="10" numFmtId="0" xfId="0" applyAlignment="1" applyBorder="1" applyFont="1">
      <alignment readingOrder="0" vertical="bottom"/>
    </xf>
    <xf borderId="1" fillId="3" fontId="3" numFmtId="0" xfId="0" applyAlignment="1" applyBorder="1" applyFont="1">
      <alignment horizontal="left" readingOrder="0"/>
    </xf>
    <xf borderId="1" fillId="3" fontId="10" numFmtId="4" xfId="0" applyAlignment="1" applyBorder="1" applyFont="1" applyNumberFormat="1">
      <alignment horizontal="right" vertical="bottom"/>
    </xf>
    <xf borderId="1" fillId="3" fontId="10" numFmtId="4" xfId="0" applyAlignment="1" applyBorder="1" applyFont="1" applyNumberFormat="1">
      <alignment horizontal="right" readingOrder="0" vertical="bottom"/>
    </xf>
    <xf borderId="1" fillId="3" fontId="10" numFmtId="0" xfId="0" applyAlignment="1" applyBorder="1" applyFont="1">
      <alignment horizontal="right" readingOrder="0" vertical="bottom"/>
    </xf>
    <xf borderId="1" fillId="3" fontId="10" numFmtId="4" xfId="0" applyAlignment="1" applyBorder="1" applyFont="1" applyNumberFormat="1">
      <alignment vertical="bottom"/>
    </xf>
    <xf borderId="1" fillId="3" fontId="10" numFmtId="0" xfId="0" applyAlignment="1" applyBorder="1" applyFont="1">
      <alignment vertical="bottom"/>
    </xf>
    <xf borderId="2" fillId="3" fontId="11" numFmtId="0" xfId="0" applyAlignment="1" applyBorder="1" applyFont="1">
      <alignment readingOrder="0"/>
    </xf>
    <xf borderId="0" fillId="3" fontId="10" numFmtId="0" xfId="0" applyAlignment="1" applyFont="1">
      <alignment vertical="bottom"/>
    </xf>
    <xf borderId="1" fillId="3" fontId="1" numFmtId="0" xfId="0" applyBorder="1" applyFont="1"/>
    <xf borderId="2" fillId="8" fontId="1" numFmtId="4" xfId="0" applyAlignment="1" applyBorder="1" applyFont="1" applyNumberFormat="1">
      <alignment readingOrder="0"/>
    </xf>
    <xf borderId="0" fillId="3" fontId="10" numFmtId="4" xfId="0" applyAlignment="1" applyFont="1" applyNumberFormat="1">
      <alignment vertical="bottom"/>
    </xf>
    <xf borderId="2" fillId="10" fontId="1" numFmtId="4" xfId="0" applyBorder="1" applyFont="1" applyNumberFormat="1"/>
    <xf borderId="1" fillId="3" fontId="10" numFmtId="0" xfId="0" applyAlignment="1" applyBorder="1" applyFont="1">
      <alignment horizontal="right" vertical="bottom"/>
    </xf>
    <xf borderId="1" fillId="3" fontId="3" numFmtId="0" xfId="0" applyAlignment="1" applyBorder="1" applyFont="1">
      <alignment horizontal="right" vertical="bottom"/>
    </xf>
    <xf borderId="0" fillId="0" fontId="12" numFmtId="0" xfId="0" applyAlignment="1" applyFont="1">
      <alignment readingOrder="0"/>
    </xf>
    <xf borderId="0" fillId="0" fontId="13" numFmtId="0" xfId="0" applyAlignment="1" applyFont="1">
      <alignment readingOrder="0"/>
    </xf>
    <xf borderId="0" fillId="0" fontId="13" numFmtId="166" xfId="0" applyAlignment="1" applyFont="1" applyNumberFormat="1">
      <alignment readingOrder="0"/>
    </xf>
    <xf borderId="2" fillId="0" fontId="1" numFmtId="4" xfId="0" applyBorder="1" applyFont="1" applyNumberFormat="1"/>
    <xf borderId="0" fillId="9" fontId="1" numFmtId="0" xfId="0" applyFont="1"/>
    <xf borderId="0" fillId="9" fontId="1" numFmtId="0" xfId="0" applyAlignment="1" applyFont="1">
      <alignment readingOrder="0"/>
    </xf>
    <xf borderId="4" fillId="2" fontId="14" numFmtId="0" xfId="0" applyAlignment="1" applyBorder="1" applyFont="1">
      <alignment vertical="bottom"/>
    </xf>
    <xf borderId="5" fillId="2" fontId="14" numFmtId="0" xfId="0" applyAlignment="1" applyBorder="1" applyFont="1">
      <alignment vertical="bottom"/>
    </xf>
    <xf borderId="3" fillId="9" fontId="10" numFmtId="0" xfId="0" applyAlignment="1" applyBorder="1" applyFont="1">
      <alignment horizontal="right" vertical="bottom"/>
    </xf>
    <xf borderId="0" fillId="9" fontId="10" numFmtId="0" xfId="0" applyAlignment="1" applyFont="1">
      <alignment readingOrder="0" vertical="bottom"/>
    </xf>
    <xf borderId="1" fillId="9" fontId="10" numFmtId="0" xfId="0" applyAlignment="1" applyBorder="1" applyFont="1">
      <alignment vertical="bottom"/>
    </xf>
    <xf borderId="0" fillId="9" fontId="10" numFmtId="0" xfId="0" applyAlignment="1" applyFont="1">
      <alignment vertical="bottom"/>
    </xf>
    <xf borderId="1" fillId="4" fontId="1" numFmtId="0" xfId="0" applyAlignment="1" applyBorder="1" applyFont="1">
      <alignment readingOrder="0"/>
    </xf>
    <xf borderId="1" fillId="9" fontId="10" numFmtId="0" xfId="0" applyAlignment="1" applyBorder="1" applyFont="1">
      <alignment vertical="bottom"/>
    </xf>
    <xf borderId="2" fillId="4" fontId="1" numFmtId="4" xfId="0" applyAlignment="1" applyBorder="1" applyFont="1" applyNumberFormat="1">
      <alignment readingOrder="0"/>
    </xf>
    <xf borderId="2" fillId="4" fontId="1" numFmtId="4" xfId="0" applyBorder="1" applyFont="1" applyNumberFormat="1"/>
    <xf borderId="3" fillId="4" fontId="1" numFmtId="4" xfId="0" applyBorder="1" applyFont="1" applyNumberFormat="1"/>
    <xf borderId="6" fillId="9" fontId="10" numFmtId="0" xfId="0" applyAlignment="1" applyBorder="1" applyFont="1">
      <alignment horizontal="right" vertical="bottom"/>
    </xf>
    <xf borderId="7" fillId="9" fontId="10" numFmtId="0" xfId="0" applyAlignment="1" applyBorder="1" applyFont="1">
      <alignment vertical="bottom"/>
    </xf>
    <xf borderId="8" fillId="9" fontId="10" numFmtId="0" xfId="0" applyAlignment="1" applyBorder="1" applyFont="1">
      <alignment vertical="bottom"/>
    </xf>
    <xf borderId="2" fillId="5" fontId="1" numFmtId="4" xfId="0" applyBorder="1" applyFont="1" applyNumberFormat="1"/>
    <xf borderId="2" fillId="5" fontId="1" numFmtId="4" xfId="0" applyAlignment="1" applyBorder="1" applyFont="1" applyNumberFormat="1">
      <alignment readingOrder="0"/>
    </xf>
    <xf borderId="3" fillId="5" fontId="1" numFmtId="4" xfId="0" applyAlignment="1" applyBorder="1" applyFont="1" applyNumberFormat="1">
      <alignment readingOrder="0"/>
    </xf>
    <xf borderId="4" fillId="2" fontId="2" numFmtId="0" xfId="0" applyAlignment="1" applyBorder="1" applyFont="1">
      <alignment readingOrder="0"/>
    </xf>
    <xf borderId="9" fillId="2" fontId="2" numFmtId="0" xfId="0" applyAlignment="1" applyBorder="1" applyFont="1">
      <alignment readingOrder="0"/>
    </xf>
    <xf borderId="10" fillId="9" fontId="1" numFmtId="14" xfId="0" applyBorder="1" applyFont="1" applyNumberFormat="1"/>
    <xf borderId="11" fillId="9" fontId="1" numFmtId="0" xfId="0" applyBorder="1" applyFont="1"/>
    <xf borderId="12" fillId="9" fontId="1" numFmtId="0" xfId="0" applyAlignment="1" applyBorder="1" applyFont="1">
      <alignment readingOrder="0"/>
    </xf>
    <xf borderId="13" fillId="9" fontId="1" numFmtId="0" xfId="0" applyAlignment="1" applyBorder="1" applyFont="1">
      <alignment readingOrder="0"/>
    </xf>
    <xf borderId="3" fillId="9" fontId="1" numFmtId="0" xfId="0" applyBorder="1" applyFont="1"/>
    <xf borderId="1" fillId="9" fontId="1" numFmtId="0" xfId="0" applyAlignment="1" applyBorder="1" applyFont="1">
      <alignment readingOrder="0"/>
    </xf>
    <xf borderId="0" fillId="6" fontId="15" numFmtId="0" xfId="0" applyAlignment="1" applyFont="1">
      <alignment readingOrder="0"/>
    </xf>
    <xf borderId="0" fillId="0" fontId="15" numFmtId="0" xfId="0" applyAlignment="1" applyFont="1">
      <alignment readingOrder="0"/>
    </xf>
    <xf borderId="0" fillId="0" fontId="15" numFmtId="0" xfId="0" applyFont="1"/>
    <xf borderId="0" fillId="6" fontId="16" numFmtId="0" xfId="0" applyAlignment="1" applyFont="1">
      <alignment horizontal="left" readingOrder="0"/>
    </xf>
    <xf borderId="10" fillId="9" fontId="1" numFmtId="0" xfId="0" applyBorder="1" applyFont="1"/>
    <xf borderId="0" fillId="6" fontId="17" numFmtId="0" xfId="0" applyAlignment="1" applyFont="1">
      <alignment readingOrder="0"/>
    </xf>
    <xf borderId="6" fillId="9" fontId="1" numFmtId="0" xfId="0" applyBorder="1" applyFont="1"/>
    <xf borderId="7" fillId="9" fontId="1" numFmtId="0" xfId="0" applyAlignment="1" applyBorder="1" applyFont="1">
      <alignment readingOrder="0"/>
    </xf>
    <xf borderId="8" fillId="9" fontId="1" numFmtId="0" xfId="0" applyAlignment="1" applyBorder="1" applyFont="1">
      <alignment readingOrder="0"/>
    </xf>
    <xf borderId="0" fillId="6" fontId="3" numFmtId="4" xfId="0" applyAlignment="1" applyFont="1" applyNumberFormat="1">
      <alignment horizontal="right" readingOrder="0"/>
    </xf>
    <xf borderId="3" fillId="6" fontId="2" numFmtId="0" xfId="0" applyAlignment="1" applyBorder="1" applyFont="1">
      <alignment readingOrder="0"/>
    </xf>
    <xf borderId="0" fillId="6" fontId="18" numFmtId="0" xfId="0" applyAlignment="1" applyFont="1">
      <alignment readingOrder="0" shrinkToFit="0" wrapText="0"/>
    </xf>
    <xf borderId="1" fillId="11" fontId="1" numFmtId="0" xfId="0" applyAlignment="1" applyBorder="1" applyFill="1" applyFont="1">
      <alignment readingOrder="0"/>
    </xf>
    <xf borderId="2" fillId="11" fontId="1" numFmtId="4" xfId="0" applyAlignment="1" applyBorder="1" applyFont="1" applyNumberFormat="1">
      <alignment readingOrder="0"/>
    </xf>
    <xf borderId="2" fillId="11" fontId="1" numFmtId="4" xfId="0" applyBorder="1" applyFont="1" applyNumberFormat="1"/>
    <xf borderId="3" fillId="11" fontId="1" numFmtId="4" xfId="0" applyBorder="1" applyFont="1" applyNumberFormat="1"/>
    <xf borderId="0" fillId="12" fontId="1" numFmtId="4" xfId="0" applyAlignment="1" applyFill="1" applyFont="1" applyNumberFormat="1">
      <alignment readingOrder="0"/>
    </xf>
    <xf borderId="1" fillId="13" fontId="1" numFmtId="0" xfId="0" applyAlignment="1" applyBorder="1" applyFill="1" applyFont="1">
      <alignment readingOrder="0"/>
    </xf>
    <xf borderId="0" fillId="12" fontId="1" numFmtId="0" xfId="0" applyAlignment="1" applyFont="1">
      <alignment readingOrder="0"/>
    </xf>
    <xf borderId="2" fillId="13" fontId="1" numFmtId="4" xfId="0" applyBorder="1" applyFont="1" applyNumberFormat="1"/>
    <xf borderId="2" fillId="13" fontId="1" numFmtId="4" xfId="0" applyAlignment="1" applyBorder="1" applyFont="1" applyNumberFormat="1">
      <alignment readingOrder="0"/>
    </xf>
    <xf borderId="0" fillId="12" fontId="19" numFmtId="0" xfId="0" applyAlignment="1" applyFont="1">
      <alignment readingOrder="0"/>
    </xf>
    <xf borderId="3" fillId="13" fontId="1" numFmtId="4" xfId="0" applyBorder="1" applyFont="1" applyNumberFormat="1"/>
    <xf borderId="0" fillId="12" fontId="1" numFmtId="0" xfId="0" applyFont="1"/>
    <xf borderId="0" fillId="0" fontId="15" numFmtId="4" xfId="0" applyAlignment="1" applyFont="1" applyNumberFormat="1">
      <alignment readingOrder="0"/>
    </xf>
    <xf borderId="0" fillId="13" fontId="3" numFmtId="0" xfId="0" applyAlignment="1" applyFont="1">
      <alignment horizontal="left" readingOrder="0"/>
    </xf>
    <xf borderId="0" fillId="13" fontId="3" numFmtId="4" xfId="0" applyAlignment="1" applyFont="1" applyNumberFormat="1">
      <alignment horizontal="right" readingOrder="0"/>
    </xf>
    <xf borderId="3" fillId="13" fontId="1" numFmtId="4" xfId="0" applyAlignment="1" applyBorder="1" applyFont="1" applyNumberFormat="1">
      <alignment readingOrder="0"/>
    </xf>
    <xf borderId="0" fillId="0" fontId="20" numFmtId="0" xfId="0" applyAlignment="1" applyFont="1">
      <alignment readingOrder="0"/>
    </xf>
    <xf borderId="0" fillId="14" fontId="17" numFmtId="0" xfId="0" applyAlignment="1" applyFill="1" applyFont="1">
      <alignment readingOrder="0"/>
    </xf>
    <xf borderId="0" fillId="0" fontId="21" numFmtId="0" xfId="0" applyAlignment="1" applyFont="1">
      <alignment readingOrder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1" Type="http://schemas.openxmlformats.org/officeDocument/2006/relationships/worksheet" Target="worksheets/sheet9.xml"/><Relationship Id="rId10" Type="http://schemas.openxmlformats.org/officeDocument/2006/relationships/worksheet" Target="worksheets/sheet8.xml"/><Relationship Id="rId13" Type="http://schemas.openxmlformats.org/officeDocument/2006/relationships/worksheet" Target="worksheets/sheet11.xml"/><Relationship Id="rId12" Type="http://schemas.openxmlformats.org/officeDocument/2006/relationships/worksheet" Target="worksheets/sheet10.xml"/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9" Type="http://schemas.openxmlformats.org/officeDocument/2006/relationships/worksheet" Target="worksheets/sheet7.xml"/><Relationship Id="rId14" Type="http://schemas.openxmlformats.org/officeDocument/2006/relationships/worksheet" Target="worksheets/sheet12.xml"/><Relationship Id="rId5" Type="http://schemas.openxmlformats.org/officeDocument/2006/relationships/worksheet" Target="worksheets/sheet3.xml"/><Relationship Id="rId6" Type="http://schemas.openxmlformats.org/officeDocument/2006/relationships/worksheet" Target="worksheets/sheet4.xml"/><Relationship Id="rId7" Type="http://schemas.openxmlformats.org/officeDocument/2006/relationships/worksheet" Target="worksheets/sheet5.xml"/><Relationship Id="rId8" Type="http://schemas.openxmlformats.org/officeDocument/2006/relationships/worksheet" Target="worksheets/sheet6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0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7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8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9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<Relationships xmlns="http://schemas.openxmlformats.org/package/2006/relationships"><Relationship Id="rId11" Type="http://schemas.openxmlformats.org/officeDocument/2006/relationships/hyperlink" Target="https://www.accommodation.cam.ac.uk/Client/Property/104110/49071/Bedroom-4-upstairs-back-31-Alpha-Road" TargetMode="External"/><Relationship Id="rId10" Type="http://schemas.openxmlformats.org/officeDocument/2006/relationships/hyperlink" Target="https://www.accommodation.cam.ac.uk/Client/Property/147130/48328/Bedroom-5-6-Blanford-Walk" TargetMode="External"/><Relationship Id="rId13" Type="http://schemas.openxmlformats.org/officeDocument/2006/relationships/hyperlink" Target="https://www.facebook.com/groups/camaccom/permalink/1403625883120904/?sale_post_id=1403625883120904" TargetMode="External"/><Relationship Id="rId12" Type="http://schemas.openxmlformats.org/officeDocument/2006/relationships/hyperlink" Target="https://www.accommodation.cam.ac.uk/Client/Property/58260/48239/Small-Bedroom-39-Bailey-Mews" TargetMode="External"/><Relationship Id="rId1" Type="http://schemas.openxmlformats.org/officeDocument/2006/relationships/hyperlink" Target="https://www.accommodation.cam.ac.uk/Client/Property/70509/48118/Bedroom-3-20-Victoria-Park" TargetMode="External"/><Relationship Id="rId2" Type="http://schemas.openxmlformats.org/officeDocument/2006/relationships/hyperlink" Target="https://www.accommodation.cam.ac.uk/Client/Property/115922/48904/Bedroom-1-3-Burnt-Close" TargetMode="External"/><Relationship Id="rId3" Type="http://schemas.openxmlformats.org/officeDocument/2006/relationships/hyperlink" Target="https://www.accommodation.cam.ac.uk/Client/Property/102043/49152/Bedroom-2-65-Glebe-Road" TargetMode="External"/><Relationship Id="rId4" Type="http://schemas.openxmlformats.org/officeDocument/2006/relationships/hyperlink" Target="https://www.accommodation.cam.ac.uk/Client/Property/88174/48576/Bedroom-1-27-Union-Road" TargetMode="External"/><Relationship Id="rId9" Type="http://schemas.openxmlformats.org/officeDocument/2006/relationships/hyperlink" Target="https://www.accommodation.cam.ac.uk/Client/Property/22446/48995/Bedroom-1---small-single-upstairs-back-98-Canterbury-Street" TargetMode="External"/><Relationship Id="rId15" Type="http://schemas.openxmlformats.org/officeDocument/2006/relationships/drawing" Target="../drawings/drawing12.xml"/><Relationship Id="rId14" Type="http://schemas.openxmlformats.org/officeDocument/2006/relationships/hyperlink" Target="https://www.spareroom.co.uk/flatshare/flatshare_detail.pl?flatshare_id=13183870&amp;search_results=%2Fflatshare%2Fmythreads_beta.pl%3Fthread_id%3D2065803_13183870%26listing_restrict%3D%26offset%3D0%26show_deleted_too%3D%26label_id%3D%26only_unreplied%3D%26folder%3Dinbox%26sort%3D&amp;fbclid=IwAR1i0vJcxSvrq7uJzOm4iGEHcYwXWByXBeJYzvmphl9RDVJBNmImtMGlAOY" TargetMode="External"/><Relationship Id="rId5" Type="http://schemas.openxmlformats.org/officeDocument/2006/relationships/hyperlink" Target="https://www.accommodation.cam.ac.uk/Client/Property/60493/48916/Bedroom-2-101-Thoday-Street" TargetMode="External"/><Relationship Id="rId6" Type="http://schemas.openxmlformats.org/officeDocument/2006/relationships/hyperlink" Target="https://www.accommodation.cam.ac.uk/Client/Property/75431/49042/First-floor-small-double-bedroom-12-Stratfield-Close" TargetMode="External"/><Relationship Id="rId7" Type="http://schemas.openxmlformats.org/officeDocument/2006/relationships/hyperlink" Target="https://www.accommodation.cam.ac.uk/Client/Property/24237/48535/Bedroom-3-first-floor-front-52-High-Street-Chesterton" TargetMode="External"/><Relationship Id="rId8" Type="http://schemas.openxmlformats.org/officeDocument/2006/relationships/hyperlink" Target="https://www.accommodation.cam.ac.uk/Client/Property/128437/48878/Bedroom-3-large-single-22-Valerian-Court" TargetMode="Externa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hyperlink" Target="https://stibofonden.dk/it-rejsestipendium/" TargetMode="External"/><Relationship Id="rId2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hyperlink" Target="https://stibofonden.dk/it-rejsestipendium/" TargetMode="External"/><Relationship Id="rId2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1" width="26.86"/>
    <col customWidth="1" min="2" max="2" width="11.0"/>
    <col customWidth="1" min="4" max="4" width="27.0"/>
    <col customWidth="1" min="5" max="5" width="8.86"/>
  </cols>
  <sheetData>
    <row r="1">
      <c r="A1" s="3" t="s">
        <v>6</v>
      </c>
      <c r="B1" s="3" t="s">
        <v>3</v>
      </c>
      <c r="D1" s="3" t="s">
        <v>8</v>
      </c>
      <c r="E1" s="3" t="s">
        <v>3</v>
      </c>
    </row>
    <row r="2">
      <c r="A2" s="5" t="s">
        <v>10</v>
      </c>
      <c r="B2" s="6">
        <v>4566.21</v>
      </c>
      <c r="D2" s="5" t="s">
        <v>11</v>
      </c>
      <c r="E2" s="6">
        <v>14301.5</v>
      </c>
    </row>
    <row r="3">
      <c r="A3" s="5" t="s">
        <v>12</v>
      </c>
      <c r="B3" s="6">
        <v>2710.21</v>
      </c>
      <c r="D3" s="5"/>
      <c r="E3" s="6"/>
    </row>
    <row r="4">
      <c r="A4" s="8" t="s">
        <v>13</v>
      </c>
      <c r="B4" s="6">
        <v>3000.0</v>
      </c>
      <c r="D4" s="5"/>
      <c r="E4" s="10"/>
    </row>
    <row r="5">
      <c r="A5" s="5" t="s">
        <v>14</v>
      </c>
      <c r="B5" s="6">
        <v>1000.0</v>
      </c>
      <c r="D5" s="5"/>
      <c r="E5" s="6"/>
    </row>
    <row r="6">
      <c r="A6" s="8" t="s">
        <v>15</v>
      </c>
      <c r="B6" s="6">
        <v>3656.12</v>
      </c>
      <c r="D6" s="8"/>
      <c r="E6" s="6"/>
    </row>
    <row r="7">
      <c r="A7" s="5" t="s">
        <v>16</v>
      </c>
      <c r="B7" s="6">
        <v>2931.06</v>
      </c>
      <c r="C7" s="15">
        <f>SUM(B7:B10)</f>
        <v>19770.38</v>
      </c>
      <c r="D7" s="5"/>
      <c r="E7" s="6"/>
    </row>
    <row r="8">
      <c r="A8" s="5" t="s">
        <v>19</v>
      </c>
      <c r="B8" s="6">
        <f>12*450</f>
        <v>5400</v>
      </c>
      <c r="D8" s="14"/>
      <c r="E8" s="10"/>
    </row>
    <row r="9">
      <c r="A9" s="5" t="s">
        <v>24</v>
      </c>
      <c r="B9" s="6">
        <v>5000.0</v>
      </c>
      <c r="D9" s="14"/>
      <c r="E9" s="10"/>
    </row>
    <row r="10">
      <c r="A10" s="5" t="s">
        <v>25</v>
      </c>
      <c r="B10" s="10">
        <f>12*536.61</f>
        <v>6439.32</v>
      </c>
      <c r="D10" s="14"/>
      <c r="E10" s="10"/>
    </row>
    <row r="11">
      <c r="A11" s="5" t="s">
        <v>32</v>
      </c>
      <c r="B11" s="10">
        <f>4*5000</f>
        <v>20000</v>
      </c>
      <c r="D11" s="14"/>
      <c r="E11" s="10"/>
    </row>
    <row r="12">
      <c r="D12" s="14"/>
      <c r="E12" s="10"/>
      <c r="H12" s="5" t="s">
        <v>36</v>
      </c>
      <c r="I12" s="6">
        <v>3419.9</v>
      </c>
    </row>
    <row r="13">
      <c r="D13" s="14"/>
      <c r="E13" s="10"/>
      <c r="H13" s="5" t="s">
        <v>37</v>
      </c>
      <c r="I13" s="6">
        <f>12*450</f>
        <v>5400</v>
      </c>
    </row>
    <row r="14">
      <c r="D14" s="14"/>
      <c r="E14" s="10"/>
      <c r="H14" s="5" t="s">
        <v>38</v>
      </c>
      <c r="I14" s="6">
        <v>5000.0</v>
      </c>
    </row>
    <row r="15">
      <c r="A15" s="14"/>
      <c r="B15" s="10"/>
      <c r="D15" s="14"/>
      <c r="E15" s="10"/>
    </row>
    <row r="16">
      <c r="A16" s="14"/>
      <c r="B16" s="10"/>
      <c r="D16" s="14"/>
      <c r="E16" s="10"/>
    </row>
    <row r="17">
      <c r="A17" s="14"/>
      <c r="B17" s="10"/>
      <c r="D17" s="14"/>
      <c r="E17" s="10"/>
    </row>
    <row r="18">
      <c r="A18" s="5"/>
      <c r="B18" s="10"/>
      <c r="D18" s="14"/>
      <c r="E18" s="10"/>
    </row>
    <row r="19">
      <c r="A19" s="14"/>
      <c r="B19" s="10"/>
      <c r="D19" s="14"/>
      <c r="E19" s="10"/>
    </row>
    <row r="20">
      <c r="A20" s="1" t="s">
        <v>39</v>
      </c>
      <c r="B20" s="15">
        <f>SUM(B2:B19)</f>
        <v>54702.92</v>
      </c>
      <c r="D20" s="1" t="s">
        <v>39</v>
      </c>
      <c r="E20" s="15">
        <f>SUM(E2:E19)</f>
        <v>14301.5</v>
      </c>
    </row>
    <row r="21">
      <c r="E21" s="15"/>
    </row>
    <row r="22">
      <c r="E22" s="15"/>
    </row>
    <row r="23">
      <c r="A23" s="22" t="s">
        <v>42</v>
      </c>
      <c r="B23" s="23">
        <f>SUM(B24:B25)</f>
        <v>53000</v>
      </c>
      <c r="D23" s="22" t="s">
        <v>42</v>
      </c>
      <c r="E23" s="23">
        <f>SUM(E24:E25)</f>
        <v>16000</v>
      </c>
    </row>
    <row r="24">
      <c r="A24" s="5" t="s">
        <v>43</v>
      </c>
      <c r="B24" s="6">
        <v>53000.0</v>
      </c>
      <c r="D24" s="5" t="s">
        <v>44</v>
      </c>
      <c r="E24" s="6">
        <v>16000.0</v>
      </c>
    </row>
    <row r="25">
      <c r="A25" s="5"/>
      <c r="B25" s="6"/>
      <c r="D25" s="5"/>
      <c r="E25" s="6"/>
    </row>
    <row r="26">
      <c r="B26" s="15"/>
      <c r="E26" s="15"/>
    </row>
    <row r="27">
      <c r="A27" s="22" t="s">
        <v>45</v>
      </c>
      <c r="B27" s="23">
        <f>SUM(B28:B31)</f>
        <v>10000</v>
      </c>
      <c r="D27" s="22" t="s">
        <v>45</v>
      </c>
      <c r="E27" s="23">
        <f>SUM(E28:E31)</f>
        <v>0</v>
      </c>
    </row>
    <row r="28">
      <c r="A28" s="5" t="s">
        <v>46</v>
      </c>
      <c r="B28" s="10"/>
      <c r="D28" s="5"/>
      <c r="E28" s="10"/>
    </row>
    <row r="29">
      <c r="A29" s="5" t="s">
        <v>47</v>
      </c>
      <c r="B29" s="10">
        <f>B11/2</f>
        <v>10000</v>
      </c>
      <c r="D29" s="5"/>
      <c r="E29" s="10"/>
    </row>
    <row r="30">
      <c r="A30" s="14"/>
      <c r="B30" s="10"/>
      <c r="D30" s="14"/>
      <c r="E30" s="10"/>
    </row>
    <row r="31">
      <c r="A31" s="14"/>
      <c r="B31" s="10"/>
      <c r="D31" s="14"/>
      <c r="E31" s="10"/>
    </row>
    <row r="32">
      <c r="A32" s="1" t="s">
        <v>39</v>
      </c>
      <c r="B32" s="15">
        <f>B23+B27</f>
        <v>63000</v>
      </c>
      <c r="D32" s="1" t="s">
        <v>39</v>
      </c>
      <c r="E32" s="15">
        <f>E23+E27</f>
        <v>16000</v>
      </c>
    </row>
    <row r="33">
      <c r="B33" s="15"/>
      <c r="E33" s="15"/>
    </row>
    <row r="34">
      <c r="B34" s="15"/>
      <c r="E34" s="15"/>
    </row>
    <row r="35">
      <c r="A35" s="1" t="s">
        <v>50</v>
      </c>
      <c r="B35" s="15">
        <f>B32-B20</f>
        <v>8297.08</v>
      </c>
      <c r="D35" s="1" t="s">
        <v>50</v>
      </c>
      <c r="E35" s="15">
        <f>E32-E20</f>
        <v>1698.5</v>
      </c>
    </row>
  </sheetData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 fitToPage="1"/>
  </sheetPr>
  <sheetViews>
    <sheetView workbookViewId="0"/>
  </sheetViews>
  <sheetFormatPr customHeight="1" defaultColWidth="14.43" defaultRowHeight="15.75"/>
  <cols>
    <col customWidth="1" min="1" max="1" width="57.57"/>
    <col customWidth="1" min="2" max="2" width="28.43"/>
    <col customWidth="1" min="3" max="3" width="23.0"/>
    <col customWidth="1" min="4" max="4" width="22.29"/>
    <col customWidth="1" min="5" max="5" width="20.29"/>
    <col customWidth="1" min="7" max="7" width="21.43"/>
    <col customWidth="1" min="8" max="8" width="16.43"/>
  </cols>
  <sheetData>
    <row r="1">
      <c r="A1" s="29" t="s">
        <v>55</v>
      </c>
      <c r="B1" s="30"/>
      <c r="C1" s="30"/>
      <c r="D1" s="30"/>
      <c r="E1" s="30"/>
      <c r="K1" s="32"/>
      <c r="L1" s="32"/>
    </row>
    <row r="2">
      <c r="A2" s="34" t="s">
        <v>57</v>
      </c>
      <c r="B2" s="34" t="s">
        <v>61</v>
      </c>
      <c r="C2" s="36"/>
      <c r="D2" s="30"/>
      <c r="E2" s="30"/>
      <c r="K2" s="38"/>
      <c r="L2" s="38"/>
    </row>
    <row r="3">
      <c r="K3" s="38"/>
      <c r="L3" s="38"/>
    </row>
    <row r="4">
      <c r="A4" s="3" t="s">
        <v>65</v>
      </c>
      <c r="B4" s="3" t="s">
        <v>66</v>
      </c>
      <c r="K4" s="38"/>
      <c r="L4" s="39"/>
    </row>
    <row r="5">
      <c r="A5" s="40" t="s">
        <v>67</v>
      </c>
      <c r="B5" s="45">
        <f>DATE(2019,9,2)</f>
        <v>43710</v>
      </c>
      <c r="K5" s="38"/>
      <c r="L5" s="47"/>
    </row>
    <row r="6">
      <c r="A6" s="40" t="s">
        <v>69</v>
      </c>
      <c r="B6" s="45">
        <f>DATE(2020,1,3)</f>
        <v>43833</v>
      </c>
      <c r="K6" s="48"/>
      <c r="L6" s="38"/>
    </row>
    <row r="7">
      <c r="A7" s="40" t="s">
        <v>71</v>
      </c>
      <c r="B7" s="49">
        <f>B6-B5</f>
        <v>123</v>
      </c>
      <c r="K7" s="38"/>
      <c r="L7" s="38"/>
    </row>
    <row r="8">
      <c r="A8" s="40" t="s">
        <v>73</v>
      </c>
      <c r="B8" s="49">
        <f>NETWORKDAYS(B5,B6)</f>
        <v>90</v>
      </c>
      <c r="K8" s="39"/>
      <c r="L8" s="39"/>
    </row>
    <row r="9">
      <c r="A9" s="40" t="s">
        <v>75</v>
      </c>
      <c r="B9" s="49">
        <f>round(B7/7)</f>
        <v>18</v>
      </c>
      <c r="K9" s="39"/>
      <c r="L9" s="39"/>
    </row>
    <row r="10">
      <c r="A10" s="40" t="s">
        <v>76</v>
      </c>
      <c r="B10" s="49">
        <f>round(B7/30)</f>
        <v>4</v>
      </c>
      <c r="K10" s="39"/>
      <c r="L10" s="39"/>
    </row>
    <row r="11">
      <c r="K11" s="39"/>
      <c r="L11" s="39"/>
    </row>
    <row r="12">
      <c r="A12" s="31" t="s">
        <v>54</v>
      </c>
      <c r="B12" s="33" t="s">
        <v>82</v>
      </c>
      <c r="C12" s="33" t="s">
        <v>83</v>
      </c>
      <c r="D12" s="33" t="s">
        <v>84</v>
      </c>
      <c r="E12" s="35" t="s">
        <v>85</v>
      </c>
      <c r="K12" s="39"/>
      <c r="L12" s="39"/>
    </row>
    <row r="13">
      <c r="A13" s="37" t="s">
        <v>70</v>
      </c>
      <c r="B13" s="51"/>
      <c r="C13" s="51"/>
      <c r="D13" s="51"/>
      <c r="E13" s="52"/>
      <c r="K13" s="39"/>
      <c r="L13" s="39"/>
    </row>
    <row r="14">
      <c r="A14" s="37" t="s">
        <v>88</v>
      </c>
      <c r="B14" s="54">
        <f>2*2200</f>
        <v>4400</v>
      </c>
      <c r="C14" s="51"/>
      <c r="D14" s="51"/>
      <c r="E14" s="52"/>
      <c r="K14" s="39"/>
      <c r="L14" s="39"/>
    </row>
    <row r="15">
      <c r="A15" s="37" t="s">
        <v>90</v>
      </c>
      <c r="B15" s="51">
        <f t="shared" ref="B15:B18" si="1">$B$10*$C15+$B$9*$D15+$B$7*$E15</f>
        <v>17300.72</v>
      </c>
      <c r="C15" s="54">
        <v>4325.18</v>
      </c>
      <c r="D15" s="51"/>
      <c r="E15" s="52"/>
      <c r="K15" s="39"/>
      <c r="L15" s="39"/>
    </row>
    <row r="16">
      <c r="A16" s="37" t="s">
        <v>98</v>
      </c>
      <c r="B16" s="51">
        <f t="shared" si="1"/>
        <v>6788</v>
      </c>
      <c r="C16" s="54">
        <v>1697.0</v>
      </c>
      <c r="D16" s="51"/>
      <c r="E16" s="57"/>
      <c r="K16" s="39"/>
      <c r="L16" s="39"/>
    </row>
    <row r="17">
      <c r="A17" s="37" t="s">
        <v>86</v>
      </c>
      <c r="B17" s="51">
        <f t="shared" si="1"/>
        <v>7534.98</v>
      </c>
      <c r="C17" s="54"/>
      <c r="D17" s="51"/>
      <c r="E17" s="57">
        <f>2*30.63</f>
        <v>61.26</v>
      </c>
      <c r="K17" s="39"/>
      <c r="L17" s="39"/>
    </row>
    <row r="18">
      <c r="A18" s="8" t="s">
        <v>99</v>
      </c>
      <c r="B18" s="51">
        <f t="shared" si="1"/>
        <v>3800</v>
      </c>
      <c r="C18" s="54">
        <v>950.0</v>
      </c>
      <c r="D18" s="51"/>
      <c r="E18" s="57"/>
      <c r="K18" s="39"/>
      <c r="L18" s="39"/>
    </row>
    <row r="19">
      <c r="A19" s="37" t="s">
        <v>154</v>
      </c>
      <c r="B19" s="42">
        <v>1500.0</v>
      </c>
      <c r="C19" s="41"/>
      <c r="D19" s="44"/>
      <c r="E19" s="44"/>
      <c r="K19" s="39"/>
      <c r="L19" s="39"/>
    </row>
    <row r="20">
      <c r="A20" s="37" t="s">
        <v>155</v>
      </c>
      <c r="B20" s="54">
        <v>10230.0</v>
      </c>
      <c r="C20" s="54"/>
      <c r="D20" s="51"/>
      <c r="E20" s="52"/>
      <c r="K20" s="39"/>
      <c r="L20" s="39"/>
    </row>
    <row r="21">
      <c r="A21" s="37" t="s">
        <v>156</v>
      </c>
      <c r="B21" s="54">
        <v>3000.0</v>
      </c>
      <c r="C21" s="54"/>
      <c r="D21" s="62"/>
      <c r="E21" s="52"/>
      <c r="K21" s="39"/>
      <c r="L21" s="39"/>
    </row>
    <row r="22">
      <c r="A22" s="37"/>
      <c r="B22" s="51"/>
      <c r="C22" s="54"/>
      <c r="D22" s="51"/>
      <c r="E22" s="52"/>
      <c r="K22" s="39"/>
      <c r="L22" s="39"/>
    </row>
    <row r="23">
      <c r="A23" s="37"/>
      <c r="B23" s="51"/>
      <c r="C23" s="54"/>
      <c r="D23" s="62"/>
      <c r="E23" s="52"/>
      <c r="K23" s="32"/>
      <c r="L23" s="39"/>
    </row>
    <row r="24">
      <c r="A24" s="37" t="s">
        <v>77</v>
      </c>
      <c r="B24" s="51"/>
      <c r="C24" s="51"/>
      <c r="D24" s="51"/>
      <c r="E24" s="52"/>
      <c r="K24" s="38"/>
      <c r="L24" s="58"/>
    </row>
    <row r="25">
      <c r="A25" s="37"/>
      <c r="B25" s="54"/>
      <c r="C25" s="51"/>
      <c r="D25" s="52"/>
      <c r="E25" s="52"/>
      <c r="G25" s="59"/>
      <c r="K25" s="38"/>
      <c r="L25" s="58"/>
    </row>
    <row r="26">
      <c r="A26" s="37"/>
      <c r="B26" s="51"/>
      <c r="C26" s="54"/>
      <c r="D26" s="51"/>
      <c r="E26" s="57"/>
      <c r="K26" s="39"/>
      <c r="L26" s="39"/>
    </row>
    <row r="27">
      <c r="A27" s="37"/>
      <c r="B27" s="54"/>
      <c r="C27" s="51"/>
      <c r="D27" s="51"/>
      <c r="E27" s="52"/>
      <c r="K27" s="32"/>
      <c r="L27" s="39"/>
    </row>
    <row r="28">
      <c r="A28" s="37"/>
      <c r="B28" s="51"/>
      <c r="C28" s="54"/>
      <c r="D28" s="51"/>
      <c r="E28" s="57"/>
      <c r="K28" s="38"/>
      <c r="L28" s="39"/>
    </row>
    <row r="29">
      <c r="A29" s="37"/>
      <c r="B29" s="51"/>
      <c r="C29" s="54"/>
      <c r="D29" s="62"/>
      <c r="E29" s="52"/>
      <c r="K29" s="38"/>
      <c r="L29" s="39"/>
    </row>
    <row r="30">
      <c r="A30" s="37"/>
      <c r="B30" s="54"/>
      <c r="C30" s="51"/>
      <c r="D30" s="51"/>
      <c r="E30" s="52"/>
      <c r="G30" s="38"/>
      <c r="H30" s="39"/>
    </row>
    <row r="31">
      <c r="A31" s="53" t="s">
        <v>101</v>
      </c>
      <c r="B31" s="66">
        <f>SUM(B13:B22)</f>
        <v>54553.7</v>
      </c>
      <c r="C31" s="55"/>
      <c r="D31" s="55"/>
      <c r="E31" s="56"/>
      <c r="G31" s="39"/>
      <c r="H31" s="39"/>
    </row>
    <row r="32">
      <c r="G32" s="39"/>
      <c r="H32" s="39"/>
    </row>
    <row r="33">
      <c r="A33" s="3" t="s">
        <v>91</v>
      </c>
      <c r="B33" s="33" t="s">
        <v>102</v>
      </c>
      <c r="C33" s="33" t="s">
        <v>103</v>
      </c>
      <c r="D33" s="33" t="s">
        <v>104</v>
      </c>
      <c r="E33" s="35" t="s">
        <v>105</v>
      </c>
      <c r="G33" s="39"/>
      <c r="H33" s="39"/>
    </row>
    <row r="34">
      <c r="A34" s="37" t="s">
        <v>107</v>
      </c>
      <c r="B34" s="51">
        <f>$B$10*$C34+$B$9*$D34+$B$7*$E34</f>
        <v>20000</v>
      </c>
      <c r="C34" s="54">
        <v>5000.0</v>
      </c>
      <c r="D34" s="51"/>
      <c r="E34" s="57"/>
      <c r="G34" s="39"/>
      <c r="H34" s="39"/>
    </row>
    <row r="35">
      <c r="A35" s="69"/>
      <c r="B35" s="71"/>
      <c r="C35" s="72"/>
      <c r="D35" s="74"/>
      <c r="E35" s="80"/>
      <c r="G35" s="39"/>
      <c r="H35" s="39"/>
    </row>
    <row r="36">
      <c r="A36" s="37"/>
      <c r="B36" s="51"/>
      <c r="C36" s="54"/>
      <c r="D36" s="51"/>
      <c r="E36" s="52"/>
    </row>
    <row r="37">
      <c r="A37" s="53" t="s">
        <v>101</v>
      </c>
      <c r="B37" s="79">
        <f>SUM(B34:B36)</f>
        <v>20000</v>
      </c>
      <c r="C37" s="60"/>
      <c r="D37" s="60"/>
      <c r="E37" s="60"/>
    </row>
    <row r="38">
      <c r="A38" s="61"/>
      <c r="B38" s="63"/>
      <c r="C38" s="63"/>
      <c r="D38" s="63"/>
      <c r="E38" s="64"/>
    </row>
    <row r="39">
      <c r="A39" s="65" t="s">
        <v>100</v>
      </c>
      <c r="B39" s="81">
        <f>B37-B$31</f>
        <v>-34553.7</v>
      </c>
      <c r="C39" s="67"/>
      <c r="D39" s="67"/>
      <c r="E39" s="68"/>
    </row>
    <row r="41">
      <c r="A41" s="31" t="s">
        <v>120</v>
      </c>
      <c r="B41" s="33" t="s">
        <v>125</v>
      </c>
      <c r="C41" s="33" t="s">
        <v>126</v>
      </c>
    </row>
    <row r="42">
      <c r="A42" s="37" t="s">
        <v>157</v>
      </c>
      <c r="B42" s="54">
        <v>35000.0</v>
      </c>
      <c r="C42" s="42">
        <f>B42*0</f>
        <v>0</v>
      </c>
    </row>
    <row r="43">
      <c r="A43" s="70"/>
      <c r="B43" s="54" t="s">
        <v>130</v>
      </c>
      <c r="C43" s="42"/>
    </row>
    <row r="44">
      <c r="A44" s="70"/>
      <c r="B44" s="54"/>
      <c r="C44" s="42"/>
    </row>
    <row r="45">
      <c r="A45" s="78"/>
      <c r="B45" s="51"/>
      <c r="C45" s="41"/>
    </row>
    <row r="46">
      <c r="A46" s="53" t="s">
        <v>101</v>
      </c>
      <c r="B46" s="79">
        <f t="shared" ref="B46:C46" si="2">SUM(B42:B45)</f>
        <v>35000</v>
      </c>
      <c r="C46" s="60">
        <f t="shared" si="2"/>
        <v>0</v>
      </c>
    </row>
    <row r="47">
      <c r="A47" s="61"/>
      <c r="B47" s="87"/>
      <c r="C47" s="63"/>
    </row>
    <row r="48">
      <c r="A48" s="65" t="s">
        <v>131</v>
      </c>
      <c r="B48" s="81">
        <f t="shared" ref="B48:C48" si="3">$B$39+B$46</f>
        <v>446.3</v>
      </c>
      <c r="C48" s="81">
        <f t="shared" si="3"/>
        <v>-34553.7</v>
      </c>
    </row>
    <row r="53">
      <c r="A53" s="84"/>
    </row>
    <row r="54">
      <c r="A54" s="85"/>
    </row>
    <row r="55">
      <c r="A55" s="86"/>
    </row>
    <row r="56">
      <c r="A56" s="85"/>
    </row>
    <row r="58">
      <c r="A58" s="85"/>
    </row>
    <row r="59">
      <c r="A59" s="85"/>
    </row>
    <row r="60">
      <c r="A60" s="85"/>
    </row>
    <row r="61">
      <c r="A61" s="85"/>
    </row>
    <row r="62">
      <c r="A62" s="85"/>
    </row>
    <row r="63">
      <c r="A63" s="85"/>
    </row>
    <row r="64">
      <c r="A64" s="85"/>
    </row>
    <row r="65">
      <c r="A65" s="85"/>
    </row>
    <row r="66">
      <c r="A66" s="85"/>
    </row>
    <row r="67">
      <c r="A67" s="85"/>
    </row>
    <row r="68">
      <c r="A68" s="85"/>
    </row>
    <row r="69">
      <c r="A69" s="85"/>
    </row>
  </sheetData>
  <printOptions gridLines="1" horizontalCentered="1"/>
  <pageMargins bottom="0.75" footer="0.0" header="0.0" left="0.7" right="0.7" top="0.75"/>
  <pageSetup fitToHeight="0" cellComments="atEnd" orientation="portrait" pageOrder="overThenDown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 fitToPage="1"/>
  </sheetPr>
  <sheetViews>
    <sheetView workbookViewId="0"/>
  </sheetViews>
  <sheetFormatPr customHeight="1" defaultColWidth="14.43" defaultRowHeight="15.75"/>
  <cols>
    <col customWidth="1" min="1" max="1" width="57.57"/>
    <col customWidth="1" min="2" max="2" width="28.43"/>
    <col customWidth="1" min="3" max="3" width="23.0"/>
    <col customWidth="1" min="4" max="4" width="16.86"/>
    <col customWidth="1" min="5" max="5" width="19.86"/>
    <col customWidth="1" min="6" max="6" width="28.14"/>
    <col customWidth="1" min="7" max="7" width="21.43"/>
    <col customWidth="1" min="8" max="8" width="16.43"/>
  </cols>
  <sheetData>
    <row r="1">
      <c r="A1" s="29" t="s">
        <v>55</v>
      </c>
      <c r="B1" s="30"/>
      <c r="C1" s="30"/>
      <c r="D1" s="30"/>
      <c r="E1" s="30"/>
      <c r="K1" s="32"/>
      <c r="L1" s="32"/>
    </row>
    <row r="2">
      <c r="A2" s="34" t="s">
        <v>57</v>
      </c>
      <c r="B2" s="34" t="s">
        <v>61</v>
      </c>
      <c r="C2" s="4"/>
      <c r="D2" s="30"/>
      <c r="K2" s="38"/>
      <c r="L2" s="38"/>
    </row>
    <row r="3">
      <c r="C3" s="4"/>
      <c r="K3" s="38"/>
      <c r="L3" s="38"/>
    </row>
    <row r="4">
      <c r="A4" s="107" t="s">
        <v>65</v>
      </c>
      <c r="B4" s="107" t="s">
        <v>66</v>
      </c>
      <c r="C4" s="108" t="s">
        <v>141</v>
      </c>
      <c r="D4" s="108" t="s">
        <v>143</v>
      </c>
      <c r="E4" s="108" t="s">
        <v>145</v>
      </c>
      <c r="F4" s="38"/>
      <c r="G4" s="38"/>
      <c r="K4" s="38"/>
      <c r="L4" s="39"/>
    </row>
    <row r="5">
      <c r="A5" s="40" t="s">
        <v>67</v>
      </c>
      <c r="B5" s="109">
        <f>DATE(2019,9,1)</f>
        <v>43709</v>
      </c>
      <c r="C5" s="110">
        <f>IFERROR(__xludf.DUMMYFUNCTION("GOOGLEFINANCE(CONCATENATE(""CURRENCY:"",$E5,$D5))"),0.1154208)</f>
        <v>0.1154208</v>
      </c>
      <c r="D5" s="111" t="s">
        <v>149</v>
      </c>
      <c r="E5" s="112" t="s">
        <v>136</v>
      </c>
      <c r="F5" s="39"/>
      <c r="G5" s="39"/>
      <c r="K5" s="38"/>
      <c r="L5" s="47"/>
    </row>
    <row r="6">
      <c r="A6" s="40" t="s">
        <v>69</v>
      </c>
      <c r="B6" s="109">
        <f>DATE(2019,12,20)</f>
        <v>43819</v>
      </c>
      <c r="C6" s="113">
        <f>IFERROR(__xludf.DUMMYFUNCTION("GOOGLEFINANCE(CONCATENATE(""CURRENCY:"",$E6,$D6))"),8.66395)</f>
        <v>8.66395</v>
      </c>
      <c r="D6" s="89" t="s">
        <v>136</v>
      </c>
      <c r="E6" s="114" t="s">
        <v>149</v>
      </c>
      <c r="F6" s="115"/>
      <c r="G6" s="115"/>
      <c r="H6" s="116"/>
      <c r="I6" s="117"/>
      <c r="J6" s="117"/>
      <c r="K6" s="118"/>
      <c r="L6" s="38"/>
    </row>
    <row r="7">
      <c r="A7" s="40" t="s">
        <v>71</v>
      </c>
      <c r="B7" s="119">
        <f>B6-B5</f>
        <v>110</v>
      </c>
      <c r="C7" s="113">
        <f>IFERROR(__xludf.DUMMYFUNCTION("GOOGLEFINANCE(CONCATENATE(""CURRENCY:"",$E7,$D7))"),7.47037)</f>
        <v>7.47037</v>
      </c>
      <c r="D7" s="89" t="s">
        <v>136</v>
      </c>
      <c r="E7" s="114" t="s">
        <v>150</v>
      </c>
      <c r="F7" s="120"/>
      <c r="G7" s="39"/>
      <c r="K7" s="38"/>
      <c r="L7" s="38"/>
    </row>
    <row r="8">
      <c r="A8" s="40" t="s">
        <v>73</v>
      </c>
      <c r="B8" s="119">
        <f>NETWORKDAYS(B5,B6)</f>
        <v>80</v>
      </c>
      <c r="C8" s="121">
        <f>IFERROR(__xludf.DUMMYFUNCTION("GOOGLEFINANCE(CONCATENATE(""CURRENCY:"",$E8,$D8))"),6.72449)</f>
        <v>6.72449</v>
      </c>
      <c r="D8" s="122" t="s">
        <v>136</v>
      </c>
      <c r="E8" s="123" t="s">
        <v>135</v>
      </c>
      <c r="F8" s="39"/>
      <c r="G8" s="39"/>
      <c r="K8" s="39"/>
      <c r="L8" s="39"/>
    </row>
    <row r="9">
      <c r="A9" s="40" t="s">
        <v>75</v>
      </c>
      <c r="B9" s="49">
        <f>round(B7/7)</f>
        <v>16</v>
      </c>
      <c r="C9" s="124"/>
      <c r="D9" s="39"/>
      <c r="E9" s="38"/>
      <c r="F9" s="38"/>
      <c r="G9" s="38"/>
      <c r="H9" s="120"/>
      <c r="I9" s="39"/>
      <c r="J9" s="39"/>
      <c r="K9" s="39"/>
      <c r="L9" s="39"/>
    </row>
    <row r="10">
      <c r="A10" s="40" t="s">
        <v>76</v>
      </c>
      <c r="B10" s="49">
        <f>round(B7/30)</f>
        <v>4</v>
      </c>
      <c r="C10" s="47"/>
      <c r="D10" s="39"/>
      <c r="E10" s="39"/>
      <c r="F10" s="39"/>
      <c r="G10" s="39"/>
      <c r="H10" s="120"/>
      <c r="K10" s="39"/>
      <c r="L10" s="39"/>
    </row>
    <row r="11">
      <c r="C11" s="47"/>
      <c r="D11" s="39"/>
      <c r="E11" s="39"/>
      <c r="F11" s="39"/>
      <c r="G11" s="39"/>
      <c r="H11" s="120"/>
      <c r="K11" s="39"/>
      <c r="L11" s="39"/>
    </row>
    <row r="12">
      <c r="A12" s="31" t="s">
        <v>54</v>
      </c>
      <c r="B12" s="33" t="s">
        <v>82</v>
      </c>
      <c r="C12" s="33" t="s">
        <v>83</v>
      </c>
      <c r="D12" s="33" t="s">
        <v>84</v>
      </c>
      <c r="E12" s="35" t="s">
        <v>85</v>
      </c>
      <c r="F12" s="125"/>
      <c r="H12" s="120"/>
      <c r="K12" s="39"/>
      <c r="L12" s="39"/>
    </row>
    <row r="13">
      <c r="A13" s="37" t="s">
        <v>70</v>
      </c>
      <c r="B13" s="51"/>
      <c r="C13" s="51"/>
      <c r="D13" s="51"/>
      <c r="E13" s="52"/>
      <c r="H13" s="126"/>
      <c r="K13" s="39"/>
      <c r="L13" s="39"/>
    </row>
    <row r="14">
      <c r="A14" s="127" t="s">
        <v>170</v>
      </c>
      <c r="B14" s="128">
        <v>3611.25</v>
      </c>
      <c r="C14" s="129"/>
      <c r="D14" s="129"/>
      <c r="E14" s="130"/>
      <c r="K14" s="39"/>
      <c r="L14" s="39"/>
    </row>
    <row r="15">
      <c r="A15" s="132" t="s">
        <v>171</v>
      </c>
      <c r="B15" s="134">
        <f t="shared" ref="B15:B16" si="1">$B$10*$C15+$B$9*$D15+$B$7*$E15</f>
        <v>10396.74</v>
      </c>
      <c r="C15" s="135">
        <f>300 * $C$6</f>
        <v>2599.185</v>
      </c>
      <c r="D15" s="134"/>
      <c r="E15" s="137"/>
      <c r="K15" s="39"/>
      <c r="L15" s="39"/>
    </row>
    <row r="16">
      <c r="A16" s="37" t="s">
        <v>98</v>
      </c>
      <c r="B16" s="51">
        <f t="shared" si="1"/>
        <v>6931.16</v>
      </c>
      <c r="C16" s="54">
        <f>200*$C$6</f>
        <v>1732.79</v>
      </c>
      <c r="D16" s="51"/>
      <c r="E16" s="57"/>
      <c r="K16" s="39"/>
      <c r="L16" s="39"/>
    </row>
    <row r="17">
      <c r="A17" s="37" t="s">
        <v>86</v>
      </c>
      <c r="B17" s="51">
        <f>$B$10*$C17+$B$9*$D17+$B$8*$E17</f>
        <v>4851.812</v>
      </c>
      <c r="C17" s="54"/>
      <c r="D17" s="51"/>
      <c r="E17" s="57">
        <f>2*3.5*$C$6</f>
        <v>60.64765</v>
      </c>
      <c r="K17" s="39"/>
      <c r="L17" s="39"/>
    </row>
    <row r="18">
      <c r="A18" s="140" t="s">
        <v>179</v>
      </c>
      <c r="B18" s="134">
        <f>$B$10*$C18+$B$9*$D18+$B$7*$E18</f>
        <v>14728.715</v>
      </c>
      <c r="C18" s="135">
        <f>425*$C$6</f>
        <v>3682.17875</v>
      </c>
      <c r="D18" s="141"/>
      <c r="E18" s="142"/>
      <c r="K18" s="39"/>
      <c r="L18" s="39"/>
    </row>
    <row r="19">
      <c r="A19" s="37" t="s">
        <v>154</v>
      </c>
      <c r="B19" s="42">
        <v>1500.0</v>
      </c>
      <c r="C19" s="41"/>
      <c r="D19" s="44"/>
      <c r="E19" s="44"/>
      <c r="K19" s="39"/>
      <c r="L19" s="39"/>
    </row>
    <row r="20">
      <c r="A20" s="37" t="s">
        <v>155</v>
      </c>
      <c r="B20" s="54">
        <v>10230.0</v>
      </c>
      <c r="C20" s="54"/>
      <c r="D20" s="51"/>
      <c r="E20" s="52"/>
      <c r="K20" s="39"/>
      <c r="L20" s="39"/>
    </row>
    <row r="21">
      <c r="A21" s="37" t="s">
        <v>156</v>
      </c>
      <c r="B21" s="54">
        <v>3000.0</v>
      </c>
      <c r="C21" s="54"/>
      <c r="D21" s="62"/>
      <c r="E21" s="52"/>
      <c r="K21" s="39"/>
      <c r="L21" s="39"/>
    </row>
    <row r="22">
      <c r="A22" s="37" t="s">
        <v>184</v>
      </c>
      <c r="B22" s="51">
        <f>2*93</f>
        <v>186</v>
      </c>
      <c r="C22" s="54"/>
      <c r="D22" s="51"/>
      <c r="E22" s="52"/>
      <c r="K22" s="39"/>
      <c r="L22" s="39"/>
    </row>
    <row r="23">
      <c r="A23" s="37"/>
      <c r="B23" s="51"/>
      <c r="C23" s="54"/>
      <c r="D23" s="62"/>
      <c r="E23" s="52"/>
      <c r="K23" s="32"/>
      <c r="L23" s="39"/>
    </row>
    <row r="24">
      <c r="A24" s="37" t="s">
        <v>77</v>
      </c>
      <c r="B24" s="51"/>
      <c r="C24" s="51"/>
      <c r="D24" s="51"/>
      <c r="E24" s="52"/>
      <c r="K24" s="38"/>
      <c r="L24" s="58"/>
    </row>
    <row r="25">
      <c r="A25" s="37"/>
      <c r="B25" s="54"/>
      <c r="C25" s="51"/>
      <c r="D25" s="52"/>
      <c r="E25" s="52"/>
      <c r="G25" s="59"/>
      <c r="K25" s="38"/>
      <c r="L25" s="58"/>
    </row>
    <row r="26">
      <c r="A26" s="37"/>
      <c r="B26" s="51"/>
      <c r="C26" s="54"/>
      <c r="D26" s="51"/>
      <c r="E26" s="57"/>
      <c r="K26" s="39"/>
      <c r="L26" s="39"/>
    </row>
    <row r="27">
      <c r="A27" s="37"/>
      <c r="B27" s="54"/>
      <c r="C27" s="51"/>
      <c r="D27" s="51"/>
      <c r="E27" s="52"/>
      <c r="K27" s="32"/>
      <c r="L27" s="39"/>
    </row>
    <row r="28">
      <c r="A28" s="37"/>
      <c r="B28" s="51"/>
      <c r="C28" s="54"/>
      <c r="D28" s="51"/>
      <c r="E28" s="57"/>
      <c r="K28" s="38"/>
      <c r="L28" s="39"/>
    </row>
    <row r="29">
      <c r="A29" s="37"/>
      <c r="B29" s="51"/>
      <c r="C29" s="54"/>
      <c r="D29" s="62"/>
      <c r="E29" s="52"/>
      <c r="K29" s="38"/>
      <c r="L29" s="39"/>
    </row>
    <row r="30">
      <c r="A30" s="37"/>
      <c r="B30" s="54"/>
      <c r="C30" s="51"/>
      <c r="D30" s="51"/>
      <c r="E30" s="52"/>
      <c r="G30" s="38"/>
      <c r="H30" s="39"/>
    </row>
    <row r="31">
      <c r="A31" s="53" t="s">
        <v>101</v>
      </c>
      <c r="B31" s="66">
        <f>SUM(B13:B30)</f>
        <v>55435.677</v>
      </c>
      <c r="C31" s="55"/>
      <c r="D31" s="55"/>
      <c r="E31" s="56"/>
      <c r="G31" s="39"/>
      <c r="H31" s="39"/>
    </row>
    <row r="32">
      <c r="G32" s="39"/>
      <c r="H32" s="39"/>
    </row>
    <row r="33">
      <c r="A33" s="3" t="s">
        <v>91</v>
      </c>
      <c r="B33" s="33" t="s">
        <v>102</v>
      </c>
      <c r="C33" s="33" t="s">
        <v>103</v>
      </c>
      <c r="D33" s="33" t="s">
        <v>104</v>
      </c>
      <c r="E33" s="35" t="s">
        <v>105</v>
      </c>
      <c r="G33" s="39"/>
      <c r="H33" s="39"/>
    </row>
    <row r="34">
      <c r="A34" s="37" t="s">
        <v>107</v>
      </c>
      <c r="B34" s="51">
        <f>$B$10*$C34+$B$9*$D34+$B$7*$E34</f>
        <v>22000</v>
      </c>
      <c r="C34" s="54"/>
      <c r="D34" s="51"/>
      <c r="E34" s="57">
        <v>200.0</v>
      </c>
      <c r="G34" s="39"/>
      <c r="H34" s="39"/>
    </row>
    <row r="35">
      <c r="A35" s="69"/>
      <c r="B35" s="71"/>
      <c r="C35" s="72"/>
      <c r="D35" s="74"/>
      <c r="E35" s="80"/>
      <c r="G35" s="39"/>
      <c r="H35" s="39"/>
    </row>
    <row r="36">
      <c r="A36" s="37"/>
      <c r="B36" s="51"/>
      <c r="C36" s="54"/>
      <c r="D36" s="51"/>
      <c r="E36" s="52"/>
    </row>
    <row r="37">
      <c r="A37" s="53" t="s">
        <v>101</v>
      </c>
      <c r="B37" s="79">
        <f>SUM(B34:B36)</f>
        <v>22000</v>
      </c>
      <c r="C37" s="60"/>
      <c r="D37" s="60"/>
      <c r="E37" s="60"/>
    </row>
    <row r="38">
      <c r="A38" s="61"/>
      <c r="B38" s="63"/>
      <c r="C38" s="63"/>
      <c r="D38" s="63"/>
      <c r="E38" s="64"/>
    </row>
    <row r="39">
      <c r="A39" s="65" t="s">
        <v>100</v>
      </c>
      <c r="B39" s="81">
        <f>B37-B$31</f>
        <v>-33435.677</v>
      </c>
      <c r="C39" s="67"/>
      <c r="D39" s="67"/>
      <c r="E39" s="68"/>
    </row>
    <row r="41">
      <c r="A41" s="31" t="s">
        <v>120</v>
      </c>
      <c r="B41" s="33" t="s">
        <v>125</v>
      </c>
      <c r="C41" s="33" t="s">
        <v>126</v>
      </c>
    </row>
    <row r="42">
      <c r="A42" s="37" t="s">
        <v>157</v>
      </c>
      <c r="B42" s="54">
        <v>35000.0</v>
      </c>
      <c r="C42" s="54">
        <v>35000.0</v>
      </c>
    </row>
    <row r="43">
      <c r="A43" s="70" t="s">
        <v>123</v>
      </c>
      <c r="B43" s="54">
        <v>10000.0</v>
      </c>
      <c r="C43" s="54">
        <v>10000.0</v>
      </c>
    </row>
    <row r="44">
      <c r="A44" s="70" t="s">
        <v>191</v>
      </c>
      <c r="B44" s="54">
        <v>20000.0</v>
      </c>
      <c r="C44" s="54">
        <v>20000.0</v>
      </c>
    </row>
    <row r="45">
      <c r="A45" s="78"/>
      <c r="B45" s="51"/>
      <c r="C45" s="41"/>
    </row>
    <row r="46">
      <c r="A46" s="53" t="s">
        <v>101</v>
      </c>
      <c r="B46" s="79">
        <f t="shared" ref="B46:C46" si="2">SUM(B42:B45)</f>
        <v>65000</v>
      </c>
      <c r="C46" s="79">
        <f t="shared" si="2"/>
        <v>65000</v>
      </c>
    </row>
    <row r="47">
      <c r="A47" s="61"/>
      <c r="B47" s="87"/>
      <c r="C47" s="63"/>
    </row>
    <row r="48">
      <c r="A48" s="65" t="s">
        <v>131</v>
      </c>
      <c r="B48" s="81">
        <f t="shared" ref="B48:C48" si="3">$B$39+B$46</f>
        <v>31564.323</v>
      </c>
      <c r="C48" s="81">
        <f t="shared" si="3"/>
        <v>31564.323</v>
      </c>
    </row>
    <row r="53">
      <c r="A53" s="84"/>
    </row>
    <row r="54">
      <c r="A54" s="85"/>
    </row>
    <row r="55">
      <c r="A55" s="86"/>
    </row>
    <row r="56">
      <c r="A56" s="85"/>
    </row>
    <row r="58">
      <c r="A58" s="85"/>
    </row>
    <row r="59">
      <c r="A59" s="85"/>
    </row>
    <row r="60">
      <c r="A60" s="85"/>
    </row>
    <row r="61">
      <c r="A61" s="85"/>
    </row>
    <row r="62">
      <c r="A62" s="85"/>
    </row>
    <row r="63">
      <c r="A63" s="85"/>
    </row>
    <row r="64">
      <c r="A64" s="85"/>
    </row>
    <row r="65">
      <c r="A65" s="85"/>
    </row>
    <row r="66">
      <c r="A66" s="85"/>
    </row>
    <row r="67">
      <c r="A67" s="85"/>
    </row>
    <row r="68">
      <c r="A68" s="85"/>
    </row>
    <row r="69">
      <c r="A69" s="85"/>
    </row>
  </sheetData>
  <printOptions gridLines="1" horizontalCentered="1"/>
  <pageMargins bottom="0.75" footer="0.0" header="0.0" left="0.7" right="0.7" top="0.75"/>
  <pageSetup fitToHeight="0" cellComments="atEnd" orientation="portrait" pageOrder="overThenDown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158</v>
      </c>
      <c r="B1" s="1" t="s">
        <v>159</v>
      </c>
      <c r="C1" s="1" t="s">
        <v>160</v>
      </c>
      <c r="D1" s="1" t="s">
        <v>161</v>
      </c>
      <c r="E1" s="1" t="s">
        <v>162</v>
      </c>
      <c r="G1" s="1" t="s">
        <v>163</v>
      </c>
      <c r="J1" s="38"/>
      <c r="M1" s="1" t="s">
        <v>141</v>
      </c>
      <c r="N1" s="1" t="s">
        <v>134</v>
      </c>
    </row>
    <row r="2">
      <c r="A2" s="4">
        <v>4401.45</v>
      </c>
      <c r="B2" s="1" t="s">
        <v>164</v>
      </c>
      <c r="C2" s="1" t="s">
        <v>165</v>
      </c>
      <c r="D2" s="27" t="s">
        <v>166</v>
      </c>
      <c r="I2" s="38"/>
      <c r="J2" s="38"/>
      <c r="M2">
        <f>IFERROR(__xludf.DUMMYFUNCTION("GOOGLEFINANCE(""CURRENCY:DKKGBP"")"),0.1154208)</f>
        <v>0.1154208</v>
      </c>
      <c r="N2" s="1" t="s">
        <v>149</v>
      </c>
    </row>
    <row r="3">
      <c r="A3" s="4">
        <v>4110.78</v>
      </c>
      <c r="B3" s="1" t="s">
        <v>167</v>
      </c>
      <c r="C3" s="1" t="s">
        <v>168</v>
      </c>
      <c r="D3" s="27" t="s">
        <v>169</v>
      </c>
      <c r="I3" s="38"/>
      <c r="J3" s="39"/>
      <c r="M3">
        <f>IFERROR(__xludf.DUMMYFUNCTION("GOOGLEFINANCE(""CURRENCY:GBPDKK"")"),8.66395)</f>
        <v>8.66395</v>
      </c>
      <c r="N3" s="1" t="s">
        <v>136</v>
      </c>
    </row>
    <row r="4">
      <c r="A4" s="131">
        <f>425*$M$3</f>
        <v>3682.17875</v>
      </c>
      <c r="B4" s="133" t="s">
        <v>172</v>
      </c>
      <c r="C4" s="133" t="s">
        <v>173</v>
      </c>
      <c r="D4" s="136" t="s">
        <v>174</v>
      </c>
      <c r="E4" s="133" t="s">
        <v>175</v>
      </c>
      <c r="F4" s="138"/>
      <c r="G4" s="133">
        <v>11.0</v>
      </c>
      <c r="H4" s="138"/>
      <c r="I4" s="38"/>
      <c r="J4" s="47"/>
    </row>
    <row r="5">
      <c r="A5" s="4">
        <v>4567.54</v>
      </c>
      <c r="B5" s="1" t="s">
        <v>176</v>
      </c>
      <c r="C5" s="1" t="s">
        <v>177</v>
      </c>
      <c r="D5" s="27" t="s">
        <v>178</v>
      </c>
      <c r="I5" s="38"/>
      <c r="J5" s="38"/>
    </row>
    <row r="6">
      <c r="A6" s="139">
        <v>3986.22</v>
      </c>
      <c r="B6" s="116" t="s">
        <v>180</v>
      </c>
      <c r="C6" s="116" t="s">
        <v>177</v>
      </c>
      <c r="D6" s="143" t="s">
        <v>181</v>
      </c>
      <c r="E6" s="116" t="s">
        <v>182</v>
      </c>
      <c r="G6" s="117"/>
      <c r="H6" s="117"/>
      <c r="I6" s="118"/>
      <c r="J6" s="38"/>
    </row>
    <row r="7">
      <c r="A7" s="4">
        <v>3820.12</v>
      </c>
      <c r="B7" s="1" t="s">
        <v>183</v>
      </c>
      <c r="C7" s="144" t="s">
        <v>177</v>
      </c>
      <c r="D7" s="27" t="s">
        <v>185</v>
      </c>
      <c r="E7" s="1" t="s">
        <v>186</v>
      </c>
      <c r="I7" s="38"/>
      <c r="J7" s="39"/>
    </row>
    <row r="8">
      <c r="A8" s="4">
        <v>3321.85</v>
      </c>
      <c r="B8" s="1" t="s">
        <v>187</v>
      </c>
      <c r="C8" s="1" t="s">
        <v>177</v>
      </c>
      <c r="D8" s="27" t="s">
        <v>188</v>
      </c>
      <c r="I8" s="39"/>
      <c r="J8" s="39"/>
    </row>
    <row r="9">
      <c r="A9" s="124"/>
      <c r="B9" s="38"/>
      <c r="C9" s="38"/>
      <c r="D9" s="38"/>
      <c r="E9" s="120"/>
      <c r="G9" s="39"/>
      <c r="H9" s="39"/>
      <c r="I9" s="39"/>
      <c r="J9" s="39"/>
    </row>
    <row r="10">
      <c r="A10" s="4">
        <v>4152.31</v>
      </c>
      <c r="B10" s="1" t="s">
        <v>189</v>
      </c>
      <c r="C10" s="1" t="s">
        <v>177</v>
      </c>
      <c r="D10" s="27" t="s">
        <v>190</v>
      </c>
      <c r="E10" s="144" t="s">
        <v>192</v>
      </c>
      <c r="G10" s="1">
        <v>19.0</v>
      </c>
      <c r="I10" s="39"/>
      <c r="J10" s="39"/>
    </row>
    <row r="11">
      <c r="A11" s="4">
        <v>3654.03</v>
      </c>
      <c r="B11" s="1" t="s">
        <v>193</v>
      </c>
      <c r="C11" s="1" t="s">
        <v>177</v>
      </c>
      <c r="D11" s="27" t="s">
        <v>194</v>
      </c>
      <c r="E11" s="144" t="s">
        <v>195</v>
      </c>
      <c r="I11" s="39"/>
    </row>
    <row r="13">
      <c r="A13" s="4">
        <v>4359.92</v>
      </c>
      <c r="B13" s="145" t="s">
        <v>196</v>
      </c>
      <c r="C13" s="1" t="s">
        <v>177</v>
      </c>
      <c r="D13" s="27" t="s">
        <v>197</v>
      </c>
      <c r="E13" s="1" t="s">
        <v>198</v>
      </c>
    </row>
    <row r="14">
      <c r="B14" s="1" t="s">
        <v>199</v>
      </c>
      <c r="C14" s="1" t="s">
        <v>200</v>
      </c>
      <c r="D14" s="27" t="s">
        <v>201</v>
      </c>
      <c r="E14" s="1" t="s">
        <v>202</v>
      </c>
    </row>
    <row r="15">
      <c r="A15" s="1" t="s">
        <v>203</v>
      </c>
      <c r="B15" s="1" t="s">
        <v>204</v>
      </c>
      <c r="C15" s="1" t="s">
        <v>205</v>
      </c>
      <c r="D15" s="27" t="s">
        <v>206</v>
      </c>
      <c r="E15" s="1" t="s">
        <v>207</v>
      </c>
    </row>
    <row r="16">
      <c r="A16" s="4">
        <v>4862.22</v>
      </c>
      <c r="B16" s="1" t="s">
        <v>208</v>
      </c>
      <c r="D16" s="27" t="s">
        <v>209</v>
      </c>
    </row>
    <row r="17">
      <c r="A17" s="4">
        <v>4780.5</v>
      </c>
      <c r="B17" s="1" t="s">
        <v>210</v>
      </c>
      <c r="D17" s="27" t="s">
        <v>211</v>
      </c>
    </row>
    <row r="18">
      <c r="B18" s="1" t="s">
        <v>212</v>
      </c>
      <c r="C18" s="1" t="s">
        <v>205</v>
      </c>
      <c r="D18" s="48"/>
      <c r="E18" s="48" t="s">
        <v>213</v>
      </c>
      <c r="G18" s="1" t="s">
        <v>214</v>
      </c>
    </row>
    <row r="19">
      <c r="A19" s="4">
        <v>3677.31</v>
      </c>
      <c r="B19" s="1" t="s">
        <v>215</v>
      </c>
      <c r="C19" s="1" t="s">
        <v>205</v>
      </c>
      <c r="E19" s="1" t="s">
        <v>216</v>
      </c>
      <c r="G19" s="1" t="s">
        <v>217</v>
      </c>
    </row>
  </sheetData>
  <hyperlinks>
    <hyperlink r:id="rId1" ref="D2"/>
    <hyperlink r:id="rId2" ref="D3"/>
    <hyperlink r:id="rId3" ref="D4"/>
    <hyperlink r:id="rId4" ref="D5"/>
    <hyperlink r:id="rId5" ref="D6"/>
    <hyperlink r:id="rId6" ref="D7"/>
    <hyperlink r:id="rId7" ref="D8"/>
    <hyperlink r:id="rId8" ref="D10"/>
    <hyperlink r:id="rId9" ref="D11"/>
    <hyperlink r:id="rId10" ref="D13"/>
    <hyperlink r:id="rId11" ref="D14"/>
    <hyperlink r:id="rId12" ref="D15"/>
    <hyperlink r:id="rId13" ref="D16"/>
    <hyperlink r:id="rId14" ref="D17"/>
  </hyperlinks>
  <drawing r:id="rId15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1" width="18.86"/>
    <col customWidth="1" min="2" max="2" width="19.57"/>
  </cols>
  <sheetData>
    <row r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>
      <c r="A2" s="1" t="s">
        <v>5</v>
      </c>
      <c r="B2" s="2">
        <v>43289.0</v>
      </c>
      <c r="C2" s="1" t="s">
        <v>7</v>
      </c>
      <c r="D2" s="4">
        <v>575.15</v>
      </c>
      <c r="E2" s="11">
        <f t="shared" ref="E2:E19" si="1">D2/3</f>
        <v>191.7166667</v>
      </c>
    </row>
    <row r="3">
      <c r="A3" s="1" t="s">
        <v>5</v>
      </c>
      <c r="B3" s="2">
        <v>43293.0</v>
      </c>
      <c r="C3" s="1" t="s">
        <v>17</v>
      </c>
      <c r="D3" s="4">
        <v>595.14</v>
      </c>
      <c r="E3" s="11">
        <f t="shared" si="1"/>
        <v>198.38</v>
      </c>
    </row>
    <row r="4">
      <c r="A4" s="1" t="s">
        <v>5</v>
      </c>
      <c r="B4" s="2">
        <v>43290.0</v>
      </c>
      <c r="C4" s="1" t="s">
        <v>18</v>
      </c>
      <c r="D4" s="4">
        <v>202.0</v>
      </c>
      <c r="E4" s="11">
        <f t="shared" si="1"/>
        <v>67.33333333</v>
      </c>
    </row>
    <row r="5">
      <c r="A5" s="1" t="s">
        <v>5</v>
      </c>
      <c r="B5" s="2">
        <v>43298.0</v>
      </c>
      <c r="C5" s="1" t="s">
        <v>20</v>
      </c>
      <c r="D5" s="4">
        <v>202.0</v>
      </c>
      <c r="E5" s="11">
        <f t="shared" si="1"/>
        <v>67.33333333</v>
      </c>
    </row>
    <row r="6">
      <c r="A6" s="1" t="s">
        <v>21</v>
      </c>
      <c r="B6" s="2">
        <v>43291.0</v>
      </c>
      <c r="C6" s="1" t="s">
        <v>22</v>
      </c>
      <c r="D6" s="4">
        <v>110.78</v>
      </c>
      <c r="E6" s="11">
        <f t="shared" si="1"/>
        <v>36.92666667</v>
      </c>
    </row>
    <row r="7">
      <c r="A7" s="1" t="s">
        <v>21</v>
      </c>
      <c r="B7" s="2">
        <v>43292.0</v>
      </c>
      <c r="C7" s="1" t="s">
        <v>22</v>
      </c>
      <c r="D7" s="4">
        <v>110.78</v>
      </c>
      <c r="E7" s="11">
        <f t="shared" si="1"/>
        <v>36.92666667</v>
      </c>
    </row>
    <row r="8">
      <c r="A8" s="1" t="s">
        <v>21</v>
      </c>
      <c r="B8" s="2">
        <v>43293.0</v>
      </c>
      <c r="C8" s="1" t="s">
        <v>22</v>
      </c>
      <c r="D8" s="4">
        <v>258.03</v>
      </c>
      <c r="E8" s="11">
        <f t="shared" si="1"/>
        <v>86.01</v>
      </c>
    </row>
    <row r="9">
      <c r="A9" s="1" t="s">
        <v>26</v>
      </c>
      <c r="B9" s="2">
        <v>43290.0</v>
      </c>
      <c r="C9" s="1" t="s">
        <v>27</v>
      </c>
      <c r="D9" s="4">
        <v>1218.83</v>
      </c>
      <c r="E9" s="11">
        <f t="shared" si="1"/>
        <v>406.2766667</v>
      </c>
    </row>
    <row r="10">
      <c r="A10" s="1" t="s">
        <v>30</v>
      </c>
      <c r="B10" s="2">
        <v>43298.0</v>
      </c>
      <c r="C10" s="18" t="s">
        <v>33</v>
      </c>
      <c r="D10" s="20">
        <v>99.95</v>
      </c>
      <c r="E10" s="11">
        <f t="shared" si="1"/>
        <v>33.31666667</v>
      </c>
    </row>
    <row r="11">
      <c r="A11" s="1" t="s">
        <v>5</v>
      </c>
      <c r="B11" s="2">
        <v>43296.0</v>
      </c>
      <c r="C11" s="1" t="s">
        <v>41</v>
      </c>
      <c r="D11" s="4">
        <v>615.89</v>
      </c>
      <c r="E11" s="11">
        <f t="shared" si="1"/>
        <v>205.2966667</v>
      </c>
    </row>
    <row r="12">
      <c r="D12" s="11"/>
      <c r="E12" s="11">
        <f t="shared" si="1"/>
        <v>0</v>
      </c>
    </row>
    <row r="13">
      <c r="D13" s="11"/>
      <c r="E13" s="11">
        <f t="shared" si="1"/>
        <v>0</v>
      </c>
    </row>
    <row r="14">
      <c r="D14" s="11"/>
      <c r="E14" s="11">
        <f t="shared" si="1"/>
        <v>0</v>
      </c>
    </row>
    <row r="15">
      <c r="D15" s="11"/>
      <c r="E15" s="11">
        <f t="shared" si="1"/>
        <v>0</v>
      </c>
    </row>
    <row r="16">
      <c r="D16" s="11"/>
      <c r="E16" s="11">
        <f t="shared" si="1"/>
        <v>0</v>
      </c>
    </row>
    <row r="17">
      <c r="D17" s="11"/>
      <c r="E17" s="11">
        <f t="shared" si="1"/>
        <v>0</v>
      </c>
    </row>
    <row r="18">
      <c r="D18" s="11"/>
      <c r="E18" s="11">
        <f t="shared" si="1"/>
        <v>0</v>
      </c>
    </row>
    <row r="19">
      <c r="D19" s="11"/>
      <c r="E19" s="11">
        <f t="shared" si="1"/>
        <v>0</v>
      </c>
    </row>
    <row r="20">
      <c r="D20" s="11"/>
      <c r="E20" s="11"/>
    </row>
    <row r="21">
      <c r="D21" s="11"/>
      <c r="E21" s="11"/>
    </row>
    <row r="22">
      <c r="D22" s="11"/>
      <c r="E22" s="11"/>
    </row>
    <row r="23">
      <c r="A23" s="1" t="s">
        <v>39</v>
      </c>
      <c r="D23" s="11">
        <f t="shared" ref="D23:E23" si="2">SUM(D2:D21)</f>
        <v>3988.55</v>
      </c>
      <c r="E23" s="11">
        <f t="shared" si="2"/>
        <v>1329.516667</v>
      </c>
    </row>
    <row r="24">
      <c r="C24" s="15"/>
    </row>
    <row r="25">
      <c r="C25" s="15"/>
    </row>
    <row r="26">
      <c r="C26" s="15"/>
    </row>
    <row r="27">
      <c r="C27" s="15"/>
    </row>
    <row r="28">
      <c r="C28" s="15"/>
    </row>
    <row r="29">
      <c r="C29" s="15"/>
    </row>
    <row r="30">
      <c r="C30" s="15"/>
    </row>
  </sheetData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1" width="26.86"/>
    <col customWidth="1" min="2" max="2" width="8.86"/>
    <col customWidth="1" min="4" max="4" width="27.0"/>
    <col customWidth="1" min="5" max="5" width="8.86"/>
  </cols>
  <sheetData>
    <row r="1">
      <c r="A1" s="3" t="s">
        <v>6</v>
      </c>
      <c r="B1" s="3" t="s">
        <v>3</v>
      </c>
      <c r="D1" s="1" t="s">
        <v>9</v>
      </c>
      <c r="F1" s="3" t="s">
        <v>8</v>
      </c>
      <c r="G1" s="3" t="s">
        <v>3</v>
      </c>
    </row>
    <row r="2">
      <c r="A2" s="7" t="s">
        <v>10</v>
      </c>
      <c r="B2" s="9">
        <v>4566.21</v>
      </c>
      <c r="F2" s="7" t="s">
        <v>11</v>
      </c>
      <c r="G2" s="7">
        <v>14301.5</v>
      </c>
    </row>
    <row r="3">
      <c r="A3" s="7" t="s">
        <v>12</v>
      </c>
      <c r="B3" s="9">
        <v>2936.81</v>
      </c>
      <c r="F3" s="5"/>
      <c r="G3" s="5"/>
    </row>
    <row r="4">
      <c r="A4" s="12" t="s">
        <v>13</v>
      </c>
      <c r="B4" s="13">
        <v>3000.0</v>
      </c>
      <c r="F4" s="5"/>
      <c r="G4" s="14"/>
    </row>
    <row r="5">
      <c r="A5" s="13" t="s">
        <v>14</v>
      </c>
      <c r="B5" s="13">
        <v>1000.0</v>
      </c>
      <c r="F5" s="5"/>
      <c r="G5" s="16"/>
    </row>
    <row r="6">
      <c r="A6" s="17" t="s">
        <v>15</v>
      </c>
      <c r="B6" s="7" t="s">
        <v>23</v>
      </c>
      <c r="F6" s="8"/>
      <c r="G6" s="5"/>
    </row>
    <row r="7">
      <c r="A7" s="5"/>
      <c r="B7" s="5"/>
      <c r="F7" s="5"/>
      <c r="G7" s="5"/>
    </row>
    <row r="8">
      <c r="A8" s="14"/>
      <c r="B8" s="14"/>
      <c r="F8" s="14"/>
      <c r="G8" s="14"/>
    </row>
    <row r="9">
      <c r="A9" s="14"/>
      <c r="B9" s="14"/>
      <c r="F9" s="14"/>
      <c r="G9" s="14"/>
    </row>
    <row r="10">
      <c r="A10" s="14"/>
      <c r="B10" s="14"/>
      <c r="F10" s="14"/>
      <c r="G10" s="14"/>
    </row>
    <row r="11">
      <c r="A11" s="14"/>
      <c r="B11" s="14"/>
      <c r="F11" s="14"/>
      <c r="G11" s="14"/>
    </row>
    <row r="12">
      <c r="A12" s="14"/>
      <c r="B12" s="14"/>
      <c r="F12" s="14"/>
      <c r="G12" s="14"/>
    </row>
    <row r="13">
      <c r="A13" s="14"/>
      <c r="B13" s="14"/>
      <c r="F13" s="14"/>
      <c r="G13" s="14"/>
    </row>
    <row r="14">
      <c r="A14" s="14"/>
      <c r="B14" s="14"/>
      <c r="F14" s="14"/>
      <c r="G14" s="14"/>
    </row>
    <row r="15">
      <c r="A15" s="5" t="s">
        <v>28</v>
      </c>
      <c r="B15" s="14"/>
      <c r="F15" s="14"/>
      <c r="G15" s="14"/>
    </row>
    <row r="16">
      <c r="A16" s="5" t="s">
        <v>29</v>
      </c>
      <c r="B16" s="14"/>
      <c r="C16" s="1" t="s">
        <v>31</v>
      </c>
      <c r="D16" s="1">
        <v>24000.0</v>
      </c>
      <c r="F16" s="14"/>
      <c r="G16" s="14"/>
    </row>
    <row r="17">
      <c r="A17" s="5" t="s">
        <v>34</v>
      </c>
      <c r="B17" s="14"/>
      <c r="F17" s="14"/>
      <c r="G17" s="14"/>
    </row>
    <row r="18">
      <c r="A18" s="19" t="s">
        <v>35</v>
      </c>
      <c r="B18" s="21"/>
      <c r="F18" s="14"/>
      <c r="G18" s="14"/>
    </row>
    <row r="19">
      <c r="A19" s="5" t="s">
        <v>40</v>
      </c>
      <c r="B19" s="5">
        <v>17300.0</v>
      </c>
      <c r="F19" s="14"/>
      <c r="G19" s="14"/>
    </row>
    <row r="20">
      <c r="A20" s="1" t="s">
        <v>39</v>
      </c>
      <c r="B20" s="11">
        <f>SUM(B2:B19)</f>
        <v>28803.02</v>
      </c>
      <c r="F20" s="1" t="s">
        <v>39</v>
      </c>
      <c r="G20">
        <f>SUM(G2:G19)</f>
        <v>14301.5</v>
      </c>
    </row>
    <row r="23">
      <c r="A23" s="22" t="s">
        <v>42</v>
      </c>
      <c r="B23" s="24">
        <f>SUM(B24:B25)</f>
        <v>69000</v>
      </c>
      <c r="F23" s="22" t="s">
        <v>42</v>
      </c>
      <c r="G23" s="24">
        <f>SUM(G24:G25)</f>
        <v>69000</v>
      </c>
    </row>
    <row r="24">
      <c r="A24" s="5" t="s">
        <v>43</v>
      </c>
      <c r="B24" s="25">
        <v>53000.0</v>
      </c>
      <c r="F24" s="5" t="s">
        <v>43</v>
      </c>
      <c r="G24" s="25">
        <v>53000.0</v>
      </c>
    </row>
    <row r="25">
      <c r="A25" s="5" t="s">
        <v>44</v>
      </c>
      <c r="B25" s="25">
        <v>16000.0</v>
      </c>
      <c r="F25" s="5" t="s">
        <v>44</v>
      </c>
      <c r="G25" s="25">
        <v>16000.0</v>
      </c>
    </row>
    <row r="27">
      <c r="A27" s="22" t="s">
        <v>45</v>
      </c>
      <c r="B27" s="26">
        <f>SUM(B28:B31)</f>
        <v>0</v>
      </c>
      <c r="F27" s="22" t="s">
        <v>45</v>
      </c>
      <c r="G27" s="26">
        <f>SUM(G28:G31)</f>
        <v>0</v>
      </c>
    </row>
    <row r="28">
      <c r="A28" s="5" t="s">
        <v>48</v>
      </c>
      <c r="B28" s="14"/>
      <c r="D28" s="1" t="s">
        <v>49</v>
      </c>
      <c r="F28" s="5" t="s">
        <v>46</v>
      </c>
      <c r="G28" s="14"/>
    </row>
    <row r="29">
      <c r="A29" s="5" t="s">
        <v>47</v>
      </c>
      <c r="B29" s="14"/>
      <c r="F29" s="5" t="s">
        <v>47</v>
      </c>
      <c r="G29" s="14">
        <f>G4/2</f>
        <v>0</v>
      </c>
    </row>
    <row r="30">
      <c r="A30" s="8" t="s">
        <v>51</v>
      </c>
      <c r="B30" s="14"/>
      <c r="C30" s="1" t="s">
        <v>52</v>
      </c>
      <c r="D30" s="27" t="s">
        <v>53</v>
      </c>
      <c r="F30" s="5"/>
      <c r="G30" s="14"/>
    </row>
    <row r="31">
      <c r="A31" s="14"/>
      <c r="B31" s="14"/>
      <c r="F31" s="14"/>
      <c r="G31" s="14"/>
    </row>
    <row r="32">
      <c r="A32" s="1" t="s">
        <v>39</v>
      </c>
      <c r="B32" s="28">
        <f>B23+B27</f>
        <v>69000</v>
      </c>
      <c r="F32" s="1" t="s">
        <v>39</v>
      </c>
      <c r="G32" s="28">
        <f>G23+G27</f>
        <v>69000</v>
      </c>
    </row>
    <row r="35">
      <c r="A35" s="1" t="s">
        <v>50</v>
      </c>
      <c r="B35" s="28">
        <f>B32-B20</f>
        <v>40196.98</v>
      </c>
      <c r="F35" s="1" t="s">
        <v>50</v>
      </c>
      <c r="G35" s="28">
        <f>G32-G20</f>
        <v>54698.5</v>
      </c>
    </row>
  </sheetData>
  <hyperlinks>
    <hyperlink r:id="rId1" ref="D30"/>
  </hyperlin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1" width="53.0"/>
    <col customWidth="1" min="2" max="2" width="19.57"/>
    <col customWidth="1" min="3" max="3" width="17.29"/>
    <col customWidth="1" min="4" max="4" width="16.43"/>
    <col customWidth="1" min="5" max="5" width="17.43"/>
    <col customWidth="1" min="7" max="7" width="34.43"/>
    <col customWidth="1" min="8" max="8" width="16.43"/>
  </cols>
  <sheetData>
    <row r="1">
      <c r="A1" s="31" t="s">
        <v>54</v>
      </c>
      <c r="B1" s="33" t="s">
        <v>56</v>
      </c>
      <c r="C1" s="33" t="s">
        <v>58</v>
      </c>
      <c r="D1" s="33" t="s">
        <v>59</v>
      </c>
      <c r="E1" s="35" t="s">
        <v>60</v>
      </c>
      <c r="G1" s="3" t="s">
        <v>62</v>
      </c>
      <c r="H1" s="3" t="s">
        <v>63</v>
      </c>
      <c r="K1" s="32"/>
      <c r="L1" s="32"/>
    </row>
    <row r="2">
      <c r="A2" s="37" t="s">
        <v>64</v>
      </c>
      <c r="B2" s="41">
        <f t="shared" ref="B2:B3" si="1">$H$7*$C2+$H$6*$D2+$H$4*$E2</f>
        <v>32000</v>
      </c>
      <c r="C2" s="42">
        <v>8000.0</v>
      </c>
      <c r="D2" s="43"/>
      <c r="E2" s="44"/>
      <c r="G2" s="1" t="s">
        <v>67</v>
      </c>
      <c r="H2" s="46">
        <f>DATE(2019,9,2)</f>
        <v>43710</v>
      </c>
      <c r="K2" s="38"/>
      <c r="L2" s="38"/>
    </row>
    <row r="3">
      <c r="A3" s="37" t="s">
        <v>68</v>
      </c>
      <c r="B3" s="41">
        <f t="shared" si="1"/>
        <v>17616</v>
      </c>
      <c r="C3" s="42">
        <v>4404.0</v>
      </c>
      <c r="D3" s="41"/>
      <c r="E3" s="44"/>
      <c r="G3" s="1" t="s">
        <v>69</v>
      </c>
      <c r="H3" s="46">
        <f>DATE(2019,12,20)</f>
        <v>43819</v>
      </c>
      <c r="K3" s="38"/>
      <c r="L3" s="38"/>
    </row>
    <row r="4">
      <c r="A4" s="37" t="s">
        <v>70</v>
      </c>
      <c r="B4" s="41"/>
      <c r="C4" s="41"/>
      <c r="D4" s="41"/>
      <c r="E4" s="44"/>
      <c r="G4" s="1" t="s">
        <v>71</v>
      </c>
      <c r="H4">
        <f>H3-H2</f>
        <v>109</v>
      </c>
      <c r="K4" s="38"/>
      <c r="L4" s="39"/>
    </row>
    <row r="5">
      <c r="A5" s="37" t="s">
        <v>72</v>
      </c>
      <c r="B5" s="42">
        <f>2*2200</f>
        <v>4400</v>
      </c>
      <c r="C5" s="41"/>
      <c r="D5" s="41"/>
      <c r="E5" s="44"/>
      <c r="G5" s="1" t="s">
        <v>73</v>
      </c>
      <c r="H5">
        <f>NETWORKDAYS(H2,H3)</f>
        <v>80</v>
      </c>
      <c r="K5" s="38"/>
      <c r="L5" s="47"/>
    </row>
    <row r="6">
      <c r="A6" s="37" t="s">
        <v>74</v>
      </c>
      <c r="B6" s="41">
        <f>$H$7*$C6+$H$6*$D6+$H$4*$E6</f>
        <v>17300.72</v>
      </c>
      <c r="C6" s="42">
        <v>4325.18</v>
      </c>
      <c r="D6" s="41"/>
      <c r="E6" s="44"/>
      <c r="G6" s="1" t="s">
        <v>75</v>
      </c>
      <c r="H6">
        <f>round(H4/7)</f>
        <v>16</v>
      </c>
      <c r="K6" s="48"/>
      <c r="L6" s="38"/>
    </row>
    <row r="7">
      <c r="G7" s="1" t="s">
        <v>76</v>
      </c>
      <c r="H7">
        <f>round(H4/30)</f>
        <v>4</v>
      </c>
      <c r="K7" s="38"/>
      <c r="L7" s="38"/>
    </row>
    <row r="8">
      <c r="K8" s="39"/>
      <c r="L8" s="39"/>
    </row>
    <row r="9">
      <c r="A9" s="37"/>
      <c r="B9" s="41"/>
      <c r="C9" s="42"/>
      <c r="D9" s="41"/>
      <c r="E9" s="44"/>
      <c r="K9" s="39"/>
      <c r="L9" s="39"/>
    </row>
    <row r="10">
      <c r="A10" s="37"/>
      <c r="B10" s="41"/>
      <c r="C10" s="42"/>
      <c r="D10" s="43"/>
      <c r="E10" s="44"/>
      <c r="K10" s="39"/>
      <c r="L10" s="39"/>
    </row>
    <row r="11">
      <c r="A11" s="37"/>
      <c r="B11" s="41"/>
      <c r="C11" s="42"/>
      <c r="D11" s="41"/>
      <c r="E11" s="44"/>
      <c r="K11" s="39"/>
      <c r="L11" s="39"/>
    </row>
    <row r="12">
      <c r="A12" s="37"/>
      <c r="B12" s="41"/>
      <c r="C12" s="42"/>
      <c r="D12" s="43"/>
      <c r="E12" s="44"/>
      <c r="K12" s="39"/>
      <c r="L12" s="39"/>
    </row>
    <row r="13">
      <c r="A13" s="37" t="s">
        <v>77</v>
      </c>
      <c r="B13" s="41"/>
      <c r="C13" s="41"/>
      <c r="D13" s="41"/>
      <c r="E13" s="44"/>
      <c r="K13" s="39"/>
      <c r="L13" s="39"/>
    </row>
    <row r="14">
      <c r="A14" s="37" t="s">
        <v>78</v>
      </c>
      <c r="B14" s="42">
        <v>1500.0</v>
      </c>
      <c r="C14" s="41"/>
      <c r="D14" s="44"/>
      <c r="E14" s="44"/>
      <c r="K14" s="39"/>
      <c r="L14" s="39"/>
    </row>
    <row r="15">
      <c r="A15" s="37" t="s">
        <v>79</v>
      </c>
      <c r="B15" s="41">
        <f>$H$7*$C15+$H$6*$D15+$H$4*$E15</f>
        <v>20000</v>
      </c>
      <c r="C15" s="42">
        <v>5000.0</v>
      </c>
      <c r="D15" s="41"/>
      <c r="E15" s="50"/>
      <c r="K15" s="39"/>
      <c r="L15" s="39"/>
    </row>
    <row r="16">
      <c r="A16" s="37" t="s">
        <v>80</v>
      </c>
      <c r="B16" s="42">
        <f>2240*2</f>
        <v>4480</v>
      </c>
      <c r="C16" s="41"/>
      <c r="D16" s="41"/>
      <c r="E16" s="44"/>
      <c r="K16" s="39"/>
      <c r="L16" s="39"/>
    </row>
    <row r="17">
      <c r="A17" s="37" t="s">
        <v>86</v>
      </c>
      <c r="B17" s="41">
        <f t="shared" ref="B17:B18" si="2">$H$7*$C17+$H$6*$D17+$H$4*$E17</f>
        <v>4715.34</v>
      </c>
      <c r="C17" s="42"/>
      <c r="D17" s="41"/>
      <c r="E17" s="50">
        <f>2*21.63</f>
        <v>43.26</v>
      </c>
      <c r="K17" s="39"/>
      <c r="L17" s="39"/>
    </row>
    <row r="18">
      <c r="A18" s="37" t="s">
        <v>64</v>
      </c>
      <c r="B18" s="41">
        <f t="shared" si="2"/>
        <v>19030.8</v>
      </c>
      <c r="C18" s="42">
        <v>4757.7</v>
      </c>
      <c r="D18" s="43"/>
      <c r="E18" s="44"/>
      <c r="K18" s="39"/>
      <c r="L18" s="39"/>
    </row>
    <row r="19">
      <c r="A19" s="37" t="s">
        <v>34</v>
      </c>
      <c r="B19" s="42">
        <v>3000.0</v>
      </c>
      <c r="C19" s="41"/>
      <c r="D19" s="41"/>
      <c r="E19" s="44"/>
      <c r="K19" s="39"/>
      <c r="L19" s="39"/>
    </row>
    <row r="20">
      <c r="A20" s="53" t="s">
        <v>39</v>
      </c>
      <c r="B20" s="55">
        <f>SUM(B2:B11)</f>
        <v>71316.72</v>
      </c>
      <c r="C20" s="55"/>
      <c r="D20" s="55"/>
      <c r="E20" s="56"/>
      <c r="K20" s="39"/>
      <c r="L20" s="39"/>
    </row>
    <row r="21">
      <c r="K21" s="39"/>
      <c r="L21" s="39"/>
    </row>
    <row r="22">
      <c r="A22" s="3" t="s">
        <v>91</v>
      </c>
      <c r="B22" s="33" t="s">
        <v>92</v>
      </c>
      <c r="C22" s="33" t="s">
        <v>93</v>
      </c>
      <c r="D22" s="33" t="s">
        <v>94</v>
      </c>
      <c r="E22" s="35" t="s">
        <v>95</v>
      </c>
      <c r="K22" s="39"/>
      <c r="L22" s="39"/>
    </row>
    <row r="23">
      <c r="A23" s="37" t="s">
        <v>97</v>
      </c>
      <c r="B23" s="41">
        <f>$H$7*$C23+$H$6*$D23+$H$4*$E23</f>
        <v>20000</v>
      </c>
      <c r="C23" s="42">
        <v>5000.0</v>
      </c>
      <c r="D23" s="41"/>
      <c r="E23" s="50"/>
      <c r="K23" s="32"/>
      <c r="L23" s="39"/>
    </row>
    <row r="24">
      <c r="A24" s="37"/>
      <c r="B24" s="41"/>
      <c r="C24" s="42"/>
      <c r="D24" s="41"/>
      <c r="E24" s="44"/>
      <c r="K24" s="38"/>
      <c r="L24" s="58"/>
    </row>
    <row r="25">
      <c r="A25" s="37"/>
      <c r="B25" s="41"/>
      <c r="C25" s="42"/>
      <c r="D25" s="41"/>
      <c r="E25" s="44"/>
      <c r="G25" s="59"/>
      <c r="K25" s="38"/>
      <c r="L25" s="58"/>
    </row>
    <row r="26">
      <c r="A26" s="53" t="s">
        <v>39</v>
      </c>
      <c r="B26" s="60">
        <f>SUM(B23:B25)</f>
        <v>20000</v>
      </c>
      <c r="C26" s="60"/>
      <c r="D26" s="60"/>
      <c r="E26" s="60"/>
      <c r="K26" s="39"/>
      <c r="L26" s="39"/>
    </row>
    <row r="27">
      <c r="A27" s="61"/>
      <c r="B27" s="63"/>
      <c r="C27" s="63"/>
      <c r="D27" s="63"/>
      <c r="E27" s="64"/>
      <c r="K27" s="32"/>
      <c r="L27" s="39"/>
    </row>
    <row r="28">
      <c r="A28" s="65" t="s">
        <v>100</v>
      </c>
      <c r="B28" s="67">
        <f>B26-B$20</f>
        <v>-51316.72</v>
      </c>
      <c r="C28" s="67"/>
      <c r="D28" s="67"/>
      <c r="E28" s="68"/>
      <c r="K28" s="38"/>
      <c r="L28" s="39"/>
    </row>
    <row r="29">
      <c r="K29" s="38"/>
      <c r="L29" s="39"/>
    </row>
    <row r="30">
      <c r="A30" s="31" t="s">
        <v>106</v>
      </c>
      <c r="B30" s="33" t="s">
        <v>108</v>
      </c>
      <c r="C30" s="33" t="s">
        <v>109</v>
      </c>
      <c r="D30" s="33" t="s">
        <v>110</v>
      </c>
      <c r="E30" s="35" t="s">
        <v>111</v>
      </c>
      <c r="F30" s="35" t="s">
        <v>112</v>
      </c>
      <c r="G30" s="33" t="s">
        <v>113</v>
      </c>
      <c r="K30" s="38"/>
      <c r="L30" s="39"/>
    </row>
    <row r="31">
      <c r="A31" s="37" t="s">
        <v>48</v>
      </c>
      <c r="B31" s="42">
        <v>20000.0</v>
      </c>
      <c r="C31" s="42">
        <f t="shared" ref="C31:C33" si="3">B31*D31</f>
        <v>0</v>
      </c>
      <c r="D31" s="42">
        <v>0.0</v>
      </c>
      <c r="E31" s="42">
        <v>0.0</v>
      </c>
      <c r="F31" s="41"/>
      <c r="G31" s="42" t="s">
        <v>49</v>
      </c>
      <c r="K31" s="39"/>
      <c r="L31" s="39"/>
    </row>
    <row r="32">
      <c r="A32" s="37" t="s">
        <v>47</v>
      </c>
      <c r="B32" s="42">
        <v>20000.0</v>
      </c>
      <c r="C32" s="42">
        <f t="shared" si="3"/>
        <v>0</v>
      </c>
      <c r="D32" s="42">
        <v>0.0</v>
      </c>
      <c r="E32" s="42">
        <v>0.0</v>
      </c>
      <c r="F32" s="41"/>
      <c r="G32" s="42" t="s">
        <v>114</v>
      </c>
      <c r="K32" s="39"/>
      <c r="L32" s="39"/>
    </row>
    <row r="33">
      <c r="A33" s="70" t="s">
        <v>51</v>
      </c>
      <c r="B33" s="42">
        <v>20000.0</v>
      </c>
      <c r="C33" s="42">
        <f t="shared" si="3"/>
        <v>0</v>
      </c>
      <c r="D33" s="42">
        <v>0.0</v>
      </c>
      <c r="E33" s="42">
        <v>0.0</v>
      </c>
      <c r="F33" s="42">
        <v>100000.0</v>
      </c>
      <c r="G33" s="76" t="s">
        <v>53</v>
      </c>
      <c r="K33" s="39"/>
      <c r="L33" s="39"/>
    </row>
    <row r="34">
      <c r="A34" s="78"/>
      <c r="B34" s="41"/>
      <c r="C34" s="41"/>
      <c r="D34" s="41"/>
      <c r="E34" s="41"/>
      <c r="F34" s="41"/>
      <c r="G34" s="41"/>
      <c r="K34" s="39"/>
      <c r="L34" s="39"/>
    </row>
    <row r="35">
      <c r="A35" s="53" t="s">
        <v>39</v>
      </c>
      <c r="B35" s="60">
        <f t="shared" ref="B35:E35" si="4">SUM(B31:B34)</f>
        <v>60000</v>
      </c>
      <c r="C35" s="60">
        <f t="shared" si="4"/>
        <v>0</v>
      </c>
      <c r="D35" s="60">
        <f t="shared" si="4"/>
        <v>0</v>
      </c>
      <c r="E35" s="60">
        <f t="shared" si="4"/>
        <v>0</v>
      </c>
      <c r="K35" s="39"/>
      <c r="L35" s="39"/>
    </row>
    <row r="36">
      <c r="A36" s="61"/>
      <c r="B36" s="63"/>
      <c r="C36" s="63"/>
      <c r="D36" s="63"/>
      <c r="E36" s="64"/>
    </row>
    <row r="37">
      <c r="A37" s="65" t="s">
        <v>116</v>
      </c>
      <c r="B37" s="67">
        <f t="shared" ref="B37:C37" si="5">$B$28+B$35</f>
        <v>8683.28</v>
      </c>
      <c r="C37" s="67">
        <f t="shared" si="5"/>
        <v>-51316.72</v>
      </c>
      <c r="D37" s="67"/>
      <c r="E37" s="68"/>
    </row>
    <row r="40">
      <c r="A40" s="3" t="s">
        <v>117</v>
      </c>
      <c r="B40" s="33" t="s">
        <v>118</v>
      </c>
      <c r="C40" s="33" t="s">
        <v>119</v>
      </c>
      <c r="D40" s="33" t="s">
        <v>121</v>
      </c>
      <c r="E40" s="35" t="s">
        <v>122</v>
      </c>
    </row>
    <row r="41">
      <c r="A41" s="75" t="s">
        <v>124</v>
      </c>
      <c r="B41" s="82">
        <f>$H$7*$C41+$H$6*$D41+$H$4*$E41</f>
        <v>72479.04</v>
      </c>
      <c r="C41" s="82">
        <v>18119.76</v>
      </c>
      <c r="D41" s="75"/>
      <c r="E41" s="77"/>
    </row>
    <row r="44">
      <c r="A44" s="37" t="s">
        <v>128</v>
      </c>
      <c r="B44" s="41">
        <f>$H$7*$C44+$H$6*$D44+$H$4*$E44</f>
        <v>17616</v>
      </c>
      <c r="C44" s="42">
        <v>4404.0</v>
      </c>
      <c r="D44" s="41"/>
      <c r="E44" s="44"/>
    </row>
    <row r="51">
      <c r="A51" s="75" t="s">
        <v>129</v>
      </c>
      <c r="B51" s="82">
        <f>$H$7*$C51+$H$6*$D51+$H$4*$E51</f>
        <v>27681.12</v>
      </c>
      <c r="C51" s="75"/>
      <c r="D51" s="83">
        <v>1730.07</v>
      </c>
      <c r="E51" s="77"/>
    </row>
    <row r="53">
      <c r="A53" s="84"/>
    </row>
    <row r="54">
      <c r="A54" s="85"/>
    </row>
    <row r="55">
      <c r="A55" s="86"/>
    </row>
    <row r="56">
      <c r="A56" s="85"/>
    </row>
    <row r="57">
      <c r="A57" s="85"/>
    </row>
    <row r="58">
      <c r="A58" s="85"/>
    </row>
    <row r="59">
      <c r="A59" s="85"/>
    </row>
    <row r="60">
      <c r="A60" s="85"/>
    </row>
    <row r="61">
      <c r="A61" s="85"/>
    </row>
    <row r="62">
      <c r="A62" s="85"/>
    </row>
    <row r="63">
      <c r="A63" s="85"/>
    </row>
    <row r="64">
      <c r="A64" s="85"/>
    </row>
    <row r="65">
      <c r="A65" s="85"/>
    </row>
    <row r="66">
      <c r="A66" s="85"/>
    </row>
    <row r="67">
      <c r="A67" s="85"/>
    </row>
    <row r="68">
      <c r="A68" s="85"/>
    </row>
    <row r="69">
      <c r="A69" s="85"/>
    </row>
  </sheetData>
  <hyperlinks>
    <hyperlink r:id="rId1" ref="G33"/>
  </hyperlin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 fitToPage="1"/>
  </sheetPr>
  <sheetViews>
    <sheetView workbookViewId="0"/>
  </sheetViews>
  <sheetFormatPr customHeight="1" defaultColWidth="14.43" defaultRowHeight="15.75"/>
  <cols>
    <col customWidth="1" min="1" max="1" width="53.0"/>
    <col customWidth="1" min="2" max="2" width="19.57"/>
    <col customWidth="1" min="3" max="3" width="17.29"/>
    <col customWidth="1" min="4" max="4" width="14.14"/>
    <col customWidth="1" min="5" max="5" width="14.57"/>
    <col customWidth="1" min="7" max="7" width="21.43"/>
    <col customWidth="1" min="8" max="8" width="16.43"/>
  </cols>
  <sheetData>
    <row r="1">
      <c r="A1" s="29" t="s">
        <v>55</v>
      </c>
      <c r="B1" s="30"/>
      <c r="C1" s="30"/>
      <c r="D1" s="30"/>
      <c r="E1" s="30"/>
      <c r="K1" s="32"/>
      <c r="L1" s="32"/>
    </row>
    <row r="2">
      <c r="A2" s="34" t="s">
        <v>57</v>
      </c>
      <c r="B2" s="34" t="s">
        <v>61</v>
      </c>
      <c r="C2" s="36"/>
      <c r="D2" s="30"/>
      <c r="E2" s="30"/>
      <c r="K2" s="38"/>
      <c r="L2" s="38"/>
    </row>
    <row r="3">
      <c r="K3" s="38"/>
      <c r="L3" s="38"/>
    </row>
    <row r="4">
      <c r="A4" s="3" t="s">
        <v>65</v>
      </c>
      <c r="B4" s="3" t="s">
        <v>66</v>
      </c>
      <c r="K4" s="38"/>
      <c r="L4" s="39"/>
    </row>
    <row r="5">
      <c r="A5" s="40" t="s">
        <v>67</v>
      </c>
      <c r="B5" s="45">
        <f>DATE(2019,9,2)</f>
        <v>43710</v>
      </c>
      <c r="K5" s="38"/>
      <c r="L5" s="47"/>
    </row>
    <row r="6">
      <c r="A6" s="40" t="s">
        <v>69</v>
      </c>
      <c r="B6" s="45">
        <f>DATE(2020,1,3)</f>
        <v>43833</v>
      </c>
      <c r="K6" s="48"/>
      <c r="L6" s="38"/>
    </row>
    <row r="7">
      <c r="A7" s="40" t="s">
        <v>71</v>
      </c>
      <c r="B7" s="49">
        <f>B6-B5</f>
        <v>123</v>
      </c>
      <c r="K7" s="38"/>
      <c r="L7" s="38"/>
    </row>
    <row r="8">
      <c r="A8" s="40" t="s">
        <v>73</v>
      </c>
      <c r="B8" s="49">
        <f>NETWORKDAYS(B5,B6)</f>
        <v>90</v>
      </c>
      <c r="K8" s="39"/>
      <c r="L8" s="39"/>
    </row>
    <row r="9">
      <c r="A9" s="40" t="s">
        <v>75</v>
      </c>
      <c r="B9" s="49">
        <f>round(B7/7)</f>
        <v>18</v>
      </c>
      <c r="K9" s="39"/>
      <c r="L9" s="39"/>
    </row>
    <row r="10">
      <c r="A10" s="40" t="s">
        <v>76</v>
      </c>
      <c r="B10" s="49">
        <f>round(B7/30)</f>
        <v>4</v>
      </c>
      <c r="K10" s="39"/>
      <c r="L10" s="39"/>
    </row>
    <row r="11">
      <c r="K11" s="39"/>
      <c r="L11" s="39"/>
    </row>
    <row r="12">
      <c r="A12" s="31" t="s">
        <v>54</v>
      </c>
      <c r="B12" s="33" t="s">
        <v>56</v>
      </c>
      <c r="C12" s="33" t="s">
        <v>58</v>
      </c>
      <c r="D12" s="33" t="s">
        <v>59</v>
      </c>
      <c r="E12" s="35" t="s">
        <v>60</v>
      </c>
      <c r="K12" s="39"/>
      <c r="L12" s="39"/>
    </row>
    <row r="13">
      <c r="A13" s="37" t="s">
        <v>81</v>
      </c>
      <c r="B13" s="51">
        <f t="shared" ref="B13:B14" si="1">$B$10*$C13+$B$9*$D13+$B$7*$E13</f>
        <v>32000</v>
      </c>
      <c r="C13" s="42">
        <v>8000.0</v>
      </c>
      <c r="D13" s="43"/>
      <c r="E13" s="44"/>
      <c r="K13" s="39"/>
      <c r="L13" s="39"/>
    </row>
    <row r="14">
      <c r="A14" s="37" t="s">
        <v>87</v>
      </c>
      <c r="B14" s="51">
        <f t="shared" si="1"/>
        <v>17616</v>
      </c>
      <c r="C14" s="42">
        <v>4404.0</v>
      </c>
      <c r="D14" s="41"/>
      <c r="E14" s="44"/>
      <c r="K14" s="39"/>
      <c r="L14" s="39"/>
    </row>
    <row r="15">
      <c r="A15" s="37" t="s">
        <v>70</v>
      </c>
      <c r="B15" s="51"/>
      <c r="C15" s="41"/>
      <c r="D15" s="41"/>
      <c r="E15" s="44"/>
      <c r="K15" s="39"/>
      <c r="L15" s="39"/>
    </row>
    <row r="16">
      <c r="A16" s="37" t="s">
        <v>72</v>
      </c>
      <c r="B16" s="54">
        <f>2*2200</f>
        <v>4400</v>
      </c>
      <c r="C16" s="41"/>
      <c r="D16" s="41"/>
      <c r="E16" s="44"/>
      <c r="K16" s="39"/>
      <c r="L16" s="39"/>
    </row>
    <row r="17">
      <c r="A17" s="37" t="s">
        <v>89</v>
      </c>
      <c r="B17" s="51">
        <f t="shared" ref="B17:B19" si="2">$B$10*$C17+$B$9*$D17+$B$7*$E17</f>
        <v>17300.72</v>
      </c>
      <c r="C17" s="42">
        <v>4325.18</v>
      </c>
      <c r="D17" s="41"/>
      <c r="E17" s="44"/>
      <c r="K17" s="39"/>
      <c r="L17" s="39"/>
    </row>
    <row r="18">
      <c r="A18" s="37" t="s">
        <v>96</v>
      </c>
      <c r="B18" s="51">
        <f t="shared" si="2"/>
        <v>24600</v>
      </c>
      <c r="C18" s="42"/>
      <c r="D18" s="41"/>
      <c r="E18" s="50">
        <v>200.0</v>
      </c>
      <c r="K18" s="39"/>
      <c r="L18" s="39"/>
    </row>
    <row r="19">
      <c r="A19" s="37" t="s">
        <v>86</v>
      </c>
      <c r="B19" s="51">
        <f t="shared" si="2"/>
        <v>5320.98</v>
      </c>
      <c r="C19" s="42"/>
      <c r="D19" s="41"/>
      <c r="E19" s="50">
        <f>2*21.63</f>
        <v>43.26</v>
      </c>
      <c r="K19" s="39"/>
      <c r="L19" s="39"/>
    </row>
    <row r="20">
      <c r="A20" s="37"/>
      <c r="B20" s="51"/>
      <c r="C20" s="42"/>
      <c r="D20" s="41"/>
      <c r="E20" s="44"/>
      <c r="K20" s="39"/>
      <c r="L20" s="39"/>
    </row>
    <row r="21">
      <c r="A21" s="37"/>
      <c r="B21" s="51"/>
      <c r="C21" s="42"/>
      <c r="D21" s="43"/>
      <c r="E21" s="44"/>
      <c r="K21" s="39"/>
      <c r="L21" s="39"/>
    </row>
    <row r="22">
      <c r="A22" s="37"/>
      <c r="B22" s="51"/>
      <c r="C22" s="42"/>
      <c r="D22" s="41"/>
      <c r="E22" s="44"/>
      <c r="K22" s="39"/>
      <c r="L22" s="39"/>
    </row>
    <row r="23">
      <c r="A23" s="37"/>
      <c r="B23" s="51"/>
      <c r="C23" s="42"/>
      <c r="D23" s="43"/>
      <c r="E23" s="44"/>
      <c r="K23" s="32"/>
      <c r="L23" s="39"/>
    </row>
    <row r="24">
      <c r="A24" s="37" t="s">
        <v>77</v>
      </c>
      <c r="B24" s="51"/>
      <c r="C24" s="41"/>
      <c r="D24" s="41"/>
      <c r="E24" s="44"/>
      <c r="K24" s="38"/>
      <c r="L24" s="58"/>
    </row>
    <row r="25">
      <c r="A25" s="37"/>
      <c r="B25" s="54"/>
      <c r="C25" s="41"/>
      <c r="D25" s="44"/>
      <c r="E25" s="44"/>
      <c r="G25" s="59"/>
      <c r="K25" s="38"/>
      <c r="L25" s="58"/>
    </row>
    <row r="26">
      <c r="A26" s="37"/>
      <c r="B26" s="51"/>
      <c r="C26" s="42"/>
      <c r="D26" s="41"/>
      <c r="E26" s="50"/>
      <c r="K26" s="39"/>
      <c r="L26" s="39"/>
    </row>
    <row r="27">
      <c r="A27" s="37"/>
      <c r="B27" s="54"/>
      <c r="C27" s="41"/>
      <c r="D27" s="41"/>
      <c r="E27" s="44"/>
      <c r="K27" s="32"/>
      <c r="L27" s="39"/>
    </row>
    <row r="28">
      <c r="A28" s="37"/>
      <c r="B28" s="51"/>
      <c r="C28" s="42"/>
      <c r="D28" s="41"/>
      <c r="E28" s="50"/>
      <c r="K28" s="38"/>
      <c r="L28" s="39"/>
    </row>
    <row r="29">
      <c r="A29" s="37"/>
      <c r="B29" s="51"/>
      <c r="C29" s="42"/>
      <c r="D29" s="43"/>
      <c r="E29" s="44"/>
      <c r="K29" s="38"/>
      <c r="L29" s="39"/>
    </row>
    <row r="30">
      <c r="A30" s="37"/>
      <c r="B30" s="54"/>
      <c r="C30" s="41"/>
      <c r="D30" s="41"/>
      <c r="E30" s="44"/>
      <c r="G30" s="38"/>
      <c r="H30" s="39"/>
    </row>
    <row r="31">
      <c r="A31" s="53" t="s">
        <v>39</v>
      </c>
      <c r="B31" s="66">
        <f>SUM(B13:B22)</f>
        <v>101237.7</v>
      </c>
      <c r="C31" s="55"/>
      <c r="D31" s="55"/>
      <c r="E31" s="56"/>
      <c r="G31" s="39"/>
      <c r="H31" s="39"/>
    </row>
    <row r="32">
      <c r="G32" s="39"/>
      <c r="H32" s="39"/>
    </row>
    <row r="33">
      <c r="A33" s="3" t="s">
        <v>91</v>
      </c>
      <c r="B33" s="33" t="s">
        <v>92</v>
      </c>
      <c r="C33" s="33" t="s">
        <v>93</v>
      </c>
      <c r="D33" s="33" t="s">
        <v>94</v>
      </c>
      <c r="E33" s="35" t="s">
        <v>95</v>
      </c>
      <c r="G33" s="39"/>
      <c r="H33" s="39"/>
    </row>
    <row r="34">
      <c r="A34" s="37" t="s">
        <v>107</v>
      </c>
      <c r="B34" s="51">
        <f t="shared" ref="B34:B35" si="3">$B$10*$C34+$B$9*$D34+$B$7*$E34</f>
        <v>20000</v>
      </c>
      <c r="C34" s="42">
        <v>5000.0</v>
      </c>
      <c r="D34" s="41"/>
      <c r="E34" s="50"/>
      <c r="G34" s="39"/>
      <c r="H34" s="39"/>
    </row>
    <row r="35">
      <c r="A35" s="69" t="s">
        <v>115</v>
      </c>
      <c r="B35" s="71">
        <f t="shared" si="3"/>
        <v>68382</v>
      </c>
      <c r="C35" s="73">
        <v>17095.5</v>
      </c>
      <c r="D35" s="75"/>
      <c r="E35" s="77"/>
      <c r="G35" s="39"/>
      <c r="H35" s="39"/>
    </row>
    <row r="36">
      <c r="A36" s="37"/>
      <c r="B36" s="51"/>
      <c r="C36" s="42"/>
      <c r="D36" s="41"/>
      <c r="E36" s="44"/>
    </row>
    <row r="37">
      <c r="A37" s="53" t="s">
        <v>39</v>
      </c>
      <c r="B37" s="79">
        <f>SUM(B34:B36)</f>
        <v>88382</v>
      </c>
      <c r="C37" s="60"/>
      <c r="D37" s="60"/>
      <c r="E37" s="60"/>
    </row>
    <row r="38">
      <c r="A38" s="61"/>
      <c r="B38" s="63"/>
      <c r="C38" s="63"/>
      <c r="D38" s="63"/>
      <c r="E38" s="64"/>
    </row>
    <row r="39">
      <c r="A39" s="65" t="s">
        <v>100</v>
      </c>
      <c r="B39" s="81">
        <f>B37-B$31</f>
        <v>-12855.7</v>
      </c>
      <c r="C39" s="67"/>
      <c r="D39" s="67"/>
      <c r="E39" s="68"/>
    </row>
    <row r="41">
      <c r="A41" s="31" t="s">
        <v>120</v>
      </c>
      <c r="B41" s="33" t="s">
        <v>108</v>
      </c>
      <c r="C41" s="33" t="s">
        <v>109</v>
      </c>
    </row>
    <row r="42">
      <c r="A42" s="37" t="s">
        <v>123</v>
      </c>
      <c r="B42" s="54">
        <v>50000.0</v>
      </c>
      <c r="C42" s="42">
        <f>B42*0</f>
        <v>0</v>
      </c>
    </row>
    <row r="43">
      <c r="A43" s="70"/>
      <c r="B43" s="54" t="s">
        <v>130</v>
      </c>
      <c r="C43" s="42"/>
    </row>
    <row r="44">
      <c r="A44" s="70"/>
      <c r="B44" s="54"/>
      <c r="C44" s="42"/>
    </row>
    <row r="45">
      <c r="A45" s="78"/>
      <c r="B45" s="51"/>
      <c r="C45" s="41"/>
    </row>
    <row r="46">
      <c r="A46" s="53" t="s">
        <v>39</v>
      </c>
      <c r="B46" s="79">
        <f t="shared" ref="B46:C46" si="4">SUM(B42:B45)</f>
        <v>50000</v>
      </c>
      <c r="C46" s="60">
        <f t="shared" si="4"/>
        <v>0</v>
      </c>
    </row>
    <row r="47">
      <c r="A47" s="61"/>
      <c r="B47" s="87"/>
      <c r="C47" s="63"/>
    </row>
    <row r="48">
      <c r="A48" s="65" t="s">
        <v>116</v>
      </c>
      <c r="B48" s="81">
        <f t="shared" ref="B48:C48" si="5">$B$39+B$46</f>
        <v>37144.3</v>
      </c>
      <c r="C48" s="81">
        <f t="shared" si="5"/>
        <v>-12855.7</v>
      </c>
    </row>
    <row r="53">
      <c r="A53" s="84"/>
    </row>
    <row r="54">
      <c r="A54" s="85"/>
    </row>
    <row r="55">
      <c r="A55" s="86"/>
    </row>
    <row r="56">
      <c r="A56" s="85"/>
    </row>
    <row r="57">
      <c r="A57" s="85"/>
    </row>
    <row r="58">
      <c r="A58" s="85"/>
    </row>
    <row r="59">
      <c r="A59" s="85"/>
    </row>
    <row r="60">
      <c r="A60" s="85"/>
    </row>
    <row r="61">
      <c r="A61" s="85"/>
    </row>
    <row r="62">
      <c r="A62" s="85"/>
    </row>
    <row r="63">
      <c r="A63" s="85"/>
    </row>
    <row r="64">
      <c r="A64" s="85"/>
    </row>
    <row r="65">
      <c r="A65" s="85"/>
    </row>
    <row r="66">
      <c r="A66" s="85"/>
    </row>
    <row r="67">
      <c r="A67" s="85"/>
    </row>
    <row r="68">
      <c r="A68" s="85"/>
    </row>
    <row r="69">
      <c r="A69" s="85"/>
    </row>
  </sheetData>
  <printOptions gridLines="1" horizontalCentered="1"/>
  <pageMargins bottom="0.75" footer="0.0" header="0.0" left="0.7" right="0.7" top="0.75"/>
  <pageSetup fitToHeight="0" cellComments="atEnd" orientation="portrait" pageOrder="overThenDown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 fitToPage="1"/>
  </sheetPr>
  <sheetViews>
    <sheetView workbookViewId="0"/>
  </sheetViews>
  <sheetFormatPr customHeight="1" defaultColWidth="14.43" defaultRowHeight="15.75"/>
  <cols>
    <col customWidth="1" min="1" max="1" width="57.57"/>
    <col customWidth="1" min="2" max="2" width="28.43"/>
    <col customWidth="1" min="3" max="3" width="23.0"/>
    <col customWidth="1" min="4" max="4" width="22.29"/>
    <col customWidth="1" min="5" max="5" width="20.29"/>
    <col customWidth="1" min="7" max="7" width="21.43"/>
    <col customWidth="1" min="8" max="8" width="16.43"/>
  </cols>
  <sheetData>
    <row r="1">
      <c r="A1" s="29" t="s">
        <v>55</v>
      </c>
      <c r="B1" s="30"/>
      <c r="C1" s="30"/>
      <c r="D1" s="30"/>
      <c r="E1" s="30"/>
      <c r="K1" s="32"/>
      <c r="L1" s="32"/>
    </row>
    <row r="2">
      <c r="A2" s="34" t="s">
        <v>57</v>
      </c>
      <c r="B2" s="34" t="s">
        <v>61</v>
      </c>
      <c r="C2" s="36"/>
      <c r="D2" s="30"/>
      <c r="E2" s="30"/>
      <c r="K2" s="38"/>
      <c r="L2" s="38"/>
    </row>
    <row r="3">
      <c r="K3" s="38"/>
      <c r="L3" s="38"/>
    </row>
    <row r="4">
      <c r="A4" s="3" t="s">
        <v>65</v>
      </c>
      <c r="B4" s="3" t="s">
        <v>66</v>
      </c>
      <c r="K4" s="38"/>
      <c r="L4" s="39"/>
    </row>
    <row r="5">
      <c r="A5" s="40" t="s">
        <v>67</v>
      </c>
      <c r="B5" s="45">
        <f>DATE(2019,9,2)</f>
        <v>43710</v>
      </c>
      <c r="K5" s="38"/>
      <c r="L5" s="47"/>
    </row>
    <row r="6">
      <c r="A6" s="40" t="s">
        <v>69</v>
      </c>
      <c r="B6" s="45">
        <f>DATE(2020,1,3)</f>
        <v>43833</v>
      </c>
      <c r="K6" s="48"/>
      <c r="L6" s="38"/>
    </row>
    <row r="7">
      <c r="A7" s="40" t="s">
        <v>71</v>
      </c>
      <c r="B7" s="49">
        <f>B6-B5</f>
        <v>123</v>
      </c>
      <c r="K7" s="38"/>
      <c r="L7" s="38"/>
    </row>
    <row r="8">
      <c r="A8" s="40" t="s">
        <v>73</v>
      </c>
      <c r="B8" s="49">
        <f>NETWORKDAYS(B5,B6)</f>
        <v>90</v>
      </c>
      <c r="K8" s="39"/>
      <c r="L8" s="39"/>
    </row>
    <row r="9">
      <c r="A9" s="40" t="s">
        <v>75</v>
      </c>
      <c r="B9" s="49">
        <f>round(B7/7)</f>
        <v>18</v>
      </c>
      <c r="K9" s="39"/>
      <c r="L9" s="39"/>
    </row>
    <row r="10">
      <c r="A10" s="40" t="s">
        <v>76</v>
      </c>
      <c r="B10" s="49">
        <f>round(B7/30)</f>
        <v>4</v>
      </c>
      <c r="K10" s="39"/>
      <c r="L10" s="39"/>
    </row>
    <row r="11">
      <c r="K11" s="39"/>
      <c r="L11" s="39"/>
    </row>
    <row r="12">
      <c r="A12" s="31" t="s">
        <v>54</v>
      </c>
      <c r="B12" s="33" t="s">
        <v>82</v>
      </c>
      <c r="C12" s="33" t="s">
        <v>83</v>
      </c>
      <c r="D12" s="33" t="s">
        <v>84</v>
      </c>
      <c r="E12" s="35" t="s">
        <v>85</v>
      </c>
      <c r="K12" s="39"/>
      <c r="L12" s="39"/>
    </row>
    <row r="13">
      <c r="A13" s="37" t="s">
        <v>70</v>
      </c>
      <c r="B13" s="51"/>
      <c r="C13" s="51"/>
      <c r="D13" s="51"/>
      <c r="E13" s="52"/>
      <c r="K13" s="39"/>
      <c r="L13" s="39"/>
    </row>
    <row r="14">
      <c r="A14" s="37" t="s">
        <v>88</v>
      </c>
      <c r="B14" s="54">
        <f>2*2200</f>
        <v>4400</v>
      </c>
      <c r="C14" s="51"/>
      <c r="D14" s="51"/>
      <c r="E14" s="52"/>
      <c r="K14" s="39"/>
      <c r="L14" s="39"/>
    </row>
    <row r="15">
      <c r="A15" s="37" t="s">
        <v>90</v>
      </c>
      <c r="B15" s="51">
        <f t="shared" ref="B15:B18" si="1">$B$10*$C15+$B$9*$D15+$B$7*$E15</f>
        <v>17300.72</v>
      </c>
      <c r="C15" s="54">
        <v>4325.18</v>
      </c>
      <c r="D15" s="51"/>
      <c r="E15" s="52"/>
      <c r="K15" s="39"/>
      <c r="L15" s="39"/>
    </row>
    <row r="16">
      <c r="A16" s="37" t="s">
        <v>98</v>
      </c>
      <c r="B16" s="51">
        <f t="shared" si="1"/>
        <v>6788</v>
      </c>
      <c r="C16" s="54">
        <v>1697.0</v>
      </c>
      <c r="D16" s="51"/>
      <c r="E16" s="57"/>
      <c r="K16" s="39"/>
      <c r="L16" s="39"/>
    </row>
    <row r="17">
      <c r="A17" s="37" t="s">
        <v>86</v>
      </c>
      <c r="B17" s="51">
        <f t="shared" si="1"/>
        <v>7534.98</v>
      </c>
      <c r="C17" s="54"/>
      <c r="D17" s="51"/>
      <c r="E17" s="57">
        <f>2*30.63</f>
        <v>61.26</v>
      </c>
      <c r="K17" s="39"/>
      <c r="L17" s="39"/>
    </row>
    <row r="18">
      <c r="A18" s="8" t="s">
        <v>99</v>
      </c>
      <c r="B18" s="51">
        <f t="shared" si="1"/>
        <v>3800</v>
      </c>
      <c r="C18" s="54">
        <v>950.0</v>
      </c>
      <c r="D18" s="51"/>
      <c r="E18" s="57"/>
      <c r="K18" s="39"/>
      <c r="L18" s="39"/>
    </row>
    <row r="19">
      <c r="A19" s="37"/>
      <c r="B19" s="51"/>
      <c r="C19" s="54"/>
      <c r="D19" s="51"/>
      <c r="E19" s="57"/>
      <c r="K19" s="39"/>
      <c r="L19" s="39"/>
    </row>
    <row r="20">
      <c r="A20" s="37"/>
      <c r="B20" s="51"/>
      <c r="C20" s="54"/>
      <c r="D20" s="51"/>
      <c r="E20" s="52"/>
      <c r="K20" s="39"/>
      <c r="L20" s="39"/>
    </row>
    <row r="21">
      <c r="A21" s="37"/>
      <c r="B21" s="51"/>
      <c r="C21" s="54"/>
      <c r="D21" s="62"/>
      <c r="E21" s="52"/>
      <c r="K21" s="39"/>
      <c r="L21" s="39"/>
    </row>
    <row r="22">
      <c r="A22" s="37"/>
      <c r="B22" s="51"/>
      <c r="C22" s="54"/>
      <c r="D22" s="51"/>
      <c r="E22" s="52"/>
      <c r="K22" s="39"/>
      <c r="L22" s="39"/>
    </row>
    <row r="23">
      <c r="A23" s="37"/>
      <c r="B23" s="51"/>
      <c r="C23" s="54"/>
      <c r="D23" s="62"/>
      <c r="E23" s="52"/>
      <c r="K23" s="32"/>
      <c r="L23" s="39"/>
    </row>
    <row r="24">
      <c r="A24" s="37" t="s">
        <v>77</v>
      </c>
      <c r="B24" s="51"/>
      <c r="C24" s="51"/>
      <c r="D24" s="51"/>
      <c r="E24" s="52"/>
      <c r="K24" s="38"/>
      <c r="L24" s="58"/>
    </row>
    <row r="25">
      <c r="A25" s="37"/>
      <c r="B25" s="54"/>
      <c r="C25" s="51"/>
      <c r="D25" s="52"/>
      <c r="E25" s="52"/>
      <c r="G25" s="59"/>
      <c r="K25" s="38"/>
      <c r="L25" s="58"/>
    </row>
    <row r="26">
      <c r="A26" s="37"/>
      <c r="B26" s="51"/>
      <c r="C26" s="54"/>
      <c r="D26" s="51"/>
      <c r="E26" s="57"/>
      <c r="K26" s="39"/>
      <c r="L26" s="39"/>
    </row>
    <row r="27">
      <c r="A27" s="37"/>
      <c r="B27" s="54"/>
      <c r="C27" s="51"/>
      <c r="D27" s="51"/>
      <c r="E27" s="52"/>
      <c r="K27" s="32"/>
      <c r="L27" s="39"/>
    </row>
    <row r="28">
      <c r="A28" s="37"/>
      <c r="B28" s="51"/>
      <c r="C28" s="54"/>
      <c r="D28" s="51"/>
      <c r="E28" s="57"/>
      <c r="K28" s="38"/>
      <c r="L28" s="39"/>
    </row>
    <row r="29">
      <c r="A29" s="37"/>
      <c r="B29" s="51"/>
      <c r="C29" s="54"/>
      <c r="D29" s="62"/>
      <c r="E29" s="52"/>
      <c r="K29" s="38"/>
      <c r="L29" s="39"/>
    </row>
    <row r="30">
      <c r="A30" s="37"/>
      <c r="B30" s="54"/>
      <c r="C30" s="51"/>
      <c r="D30" s="51"/>
      <c r="E30" s="52"/>
      <c r="G30" s="38"/>
      <c r="H30" s="39"/>
    </row>
    <row r="31">
      <c r="A31" s="53" t="s">
        <v>101</v>
      </c>
      <c r="B31" s="66">
        <f>SUM(B13:B22)</f>
        <v>39823.7</v>
      </c>
      <c r="C31" s="55"/>
      <c r="D31" s="55"/>
      <c r="E31" s="56"/>
      <c r="G31" s="39"/>
      <c r="H31" s="39"/>
    </row>
    <row r="32">
      <c r="G32" s="39"/>
      <c r="H32" s="39"/>
    </row>
    <row r="33">
      <c r="A33" s="3" t="s">
        <v>91</v>
      </c>
      <c r="B33" s="33" t="s">
        <v>102</v>
      </c>
      <c r="C33" s="33" t="s">
        <v>103</v>
      </c>
      <c r="D33" s="33" t="s">
        <v>104</v>
      </c>
      <c r="E33" s="35" t="s">
        <v>105</v>
      </c>
      <c r="G33" s="39"/>
      <c r="H33" s="39"/>
    </row>
    <row r="34">
      <c r="A34" s="37" t="s">
        <v>107</v>
      </c>
      <c r="B34" s="51">
        <f>$B$10*$C34+$B$9*$D34+$B$7*$E34</f>
        <v>20000</v>
      </c>
      <c r="C34" s="54">
        <v>5000.0</v>
      </c>
      <c r="D34" s="51"/>
      <c r="E34" s="57"/>
      <c r="G34" s="39"/>
      <c r="H34" s="39"/>
    </row>
    <row r="35">
      <c r="A35" s="69"/>
      <c r="B35" s="71"/>
      <c r="C35" s="72"/>
      <c r="D35" s="74"/>
      <c r="E35" s="80"/>
      <c r="G35" s="39"/>
      <c r="H35" s="39"/>
    </row>
    <row r="36">
      <c r="A36" s="37"/>
      <c r="B36" s="51"/>
      <c r="C36" s="54"/>
      <c r="D36" s="51"/>
      <c r="E36" s="52"/>
    </row>
    <row r="37">
      <c r="A37" s="53" t="s">
        <v>101</v>
      </c>
      <c r="B37" s="79">
        <f>SUM(B34:B36)</f>
        <v>20000</v>
      </c>
      <c r="C37" s="60"/>
      <c r="D37" s="60"/>
      <c r="E37" s="60"/>
    </row>
    <row r="38">
      <c r="A38" s="61"/>
      <c r="B38" s="63"/>
      <c r="C38" s="63"/>
      <c r="D38" s="63"/>
      <c r="E38" s="64"/>
    </row>
    <row r="39">
      <c r="A39" s="65" t="s">
        <v>100</v>
      </c>
      <c r="B39" s="81">
        <f>B37-B$31</f>
        <v>-19823.7</v>
      </c>
      <c r="C39" s="67"/>
      <c r="D39" s="67"/>
      <c r="E39" s="68"/>
    </row>
    <row r="41">
      <c r="A41" s="31" t="s">
        <v>120</v>
      </c>
      <c r="B41" s="33" t="s">
        <v>125</v>
      </c>
      <c r="C41" s="33" t="s">
        <v>126</v>
      </c>
    </row>
    <row r="42">
      <c r="A42" s="37" t="s">
        <v>127</v>
      </c>
      <c r="B42" s="54">
        <v>20000.0</v>
      </c>
      <c r="C42" s="42">
        <f>B42*0</f>
        <v>0</v>
      </c>
    </row>
    <row r="43">
      <c r="A43" s="70"/>
      <c r="B43" s="54" t="s">
        <v>130</v>
      </c>
      <c r="C43" s="42"/>
    </row>
    <row r="44">
      <c r="A44" s="70"/>
      <c r="B44" s="54"/>
      <c r="C44" s="42"/>
    </row>
    <row r="45">
      <c r="A45" s="78"/>
      <c r="B45" s="51"/>
      <c r="C45" s="41"/>
    </row>
    <row r="46">
      <c r="A46" s="53" t="s">
        <v>101</v>
      </c>
      <c r="B46" s="79">
        <f t="shared" ref="B46:C46" si="2">SUM(B42:B45)</f>
        <v>20000</v>
      </c>
      <c r="C46" s="60">
        <f t="shared" si="2"/>
        <v>0</v>
      </c>
    </row>
    <row r="47">
      <c r="A47" s="61"/>
      <c r="B47" s="87"/>
      <c r="C47" s="63"/>
    </row>
    <row r="48">
      <c r="A48" s="65" t="s">
        <v>131</v>
      </c>
      <c r="B48" s="81">
        <f t="shared" ref="B48:C48" si="3">$B$39+B$46</f>
        <v>176.3</v>
      </c>
      <c r="C48" s="81">
        <f t="shared" si="3"/>
        <v>-19823.7</v>
      </c>
    </row>
    <row r="53">
      <c r="A53" s="84"/>
    </row>
    <row r="54">
      <c r="A54" s="85"/>
    </row>
    <row r="55">
      <c r="A55" s="86"/>
    </row>
    <row r="56">
      <c r="A56" s="85"/>
    </row>
    <row r="58">
      <c r="A58" s="85"/>
    </row>
    <row r="59">
      <c r="A59" s="85"/>
    </row>
    <row r="60">
      <c r="A60" s="85"/>
    </row>
    <row r="61">
      <c r="A61" s="85"/>
    </row>
    <row r="62">
      <c r="A62" s="85"/>
    </row>
    <row r="63">
      <c r="A63" s="85"/>
    </row>
    <row r="64">
      <c r="A64" s="85"/>
    </row>
    <row r="65">
      <c r="A65" s="85"/>
    </row>
    <row r="66">
      <c r="A66" s="85"/>
    </row>
    <row r="67">
      <c r="A67" s="85"/>
    </row>
    <row r="68">
      <c r="A68" s="85"/>
    </row>
    <row r="69">
      <c r="A69" s="85"/>
    </row>
  </sheetData>
  <printOptions gridLines="1" horizontalCentered="1"/>
  <pageMargins bottom="0.75" footer="0.0" header="0.0" left="0.7" right="0.7" top="0.75"/>
  <pageSetup fitToHeight="0" cellComments="atEnd" orientation="portrait" pageOrder="overThenDown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 fitToPage="1"/>
  </sheetPr>
  <sheetViews>
    <sheetView workbookViewId="0"/>
  </sheetViews>
  <sheetFormatPr customHeight="1" defaultColWidth="14.43" defaultRowHeight="15.75"/>
  <cols>
    <col customWidth="1" min="1" max="1" width="57.57"/>
    <col customWidth="1" min="2" max="2" width="28.43"/>
    <col customWidth="1" min="3" max="3" width="23.0"/>
    <col customWidth="1" min="4" max="4" width="22.29"/>
    <col customWidth="1" min="5" max="5" width="20.29"/>
    <col customWidth="1" min="7" max="7" width="21.43"/>
    <col customWidth="1" min="8" max="8" width="16.43"/>
  </cols>
  <sheetData>
    <row r="1">
      <c r="A1" s="29" t="s">
        <v>132</v>
      </c>
      <c r="B1" s="30"/>
      <c r="C1" s="30"/>
      <c r="D1" s="30"/>
      <c r="E1" s="30"/>
      <c r="K1" s="32"/>
      <c r="L1" s="32"/>
    </row>
    <row r="2">
      <c r="A2" s="34" t="s">
        <v>57</v>
      </c>
      <c r="B2" s="34" t="s">
        <v>61</v>
      </c>
      <c r="C2" s="36"/>
      <c r="D2" s="30"/>
      <c r="E2" s="30"/>
      <c r="K2" s="38"/>
      <c r="L2" s="38"/>
    </row>
    <row r="3">
      <c r="K3" s="38"/>
      <c r="L3" s="38"/>
    </row>
    <row r="4">
      <c r="A4" s="3" t="s">
        <v>65</v>
      </c>
      <c r="B4" s="3" t="s">
        <v>66</v>
      </c>
      <c r="D4" s="3" t="s">
        <v>133</v>
      </c>
      <c r="E4" s="3" t="s">
        <v>134</v>
      </c>
      <c r="K4" s="38"/>
      <c r="L4" s="39"/>
    </row>
    <row r="5">
      <c r="A5" s="40" t="s">
        <v>67</v>
      </c>
      <c r="B5" s="45">
        <f>DATE(2019,10,11)</f>
        <v>43749</v>
      </c>
      <c r="D5" s="88">
        <f>IFERROR(__xludf.DUMMYFUNCTION("GOOGLEFINANCE(""CURRENCY:DKKUSD"")"),0.148681)</f>
        <v>0.148681</v>
      </c>
      <c r="E5" s="89" t="s">
        <v>135</v>
      </c>
      <c r="K5" s="38"/>
      <c r="L5" s="47"/>
    </row>
    <row r="6">
      <c r="A6" s="40" t="s">
        <v>69</v>
      </c>
      <c r="B6" s="45">
        <f>DATE(2019,10,16)</f>
        <v>43754</v>
      </c>
      <c r="D6" s="88">
        <f>IFERROR(__xludf.DUMMYFUNCTION("GOOGLEFINANCE(""CURRENCY:USDDKK"")"),6.72449)</f>
        <v>6.72449</v>
      </c>
      <c r="E6" s="89" t="s">
        <v>136</v>
      </c>
      <c r="K6" s="48"/>
      <c r="L6" s="38"/>
    </row>
    <row r="7">
      <c r="A7" s="40" t="s">
        <v>71</v>
      </c>
      <c r="B7" s="49">
        <f>B6-B5</f>
        <v>5</v>
      </c>
      <c r="K7" s="38"/>
      <c r="L7" s="38"/>
    </row>
    <row r="8">
      <c r="A8" s="40" t="s">
        <v>73</v>
      </c>
      <c r="B8" s="49">
        <f>NETWORKDAYS(B5,B6)</f>
        <v>4</v>
      </c>
      <c r="K8" s="39"/>
      <c r="L8" s="39"/>
    </row>
    <row r="9">
      <c r="A9" s="40" t="s">
        <v>75</v>
      </c>
      <c r="B9" s="49">
        <f>round(B7/7)</f>
        <v>1</v>
      </c>
      <c r="K9" s="39"/>
      <c r="L9" s="39"/>
    </row>
    <row r="10">
      <c r="A10" s="40" t="s">
        <v>76</v>
      </c>
      <c r="B10" s="49">
        <f>round(B7/30)</f>
        <v>0</v>
      </c>
      <c r="K10" s="39"/>
      <c r="L10" s="39"/>
    </row>
    <row r="11">
      <c r="K11" s="39"/>
      <c r="L11" s="39"/>
    </row>
    <row r="12">
      <c r="A12" s="31" t="s">
        <v>54</v>
      </c>
      <c r="B12" s="33" t="s">
        <v>82</v>
      </c>
      <c r="C12" s="33" t="s">
        <v>83</v>
      </c>
      <c r="D12" s="33" t="s">
        <v>84</v>
      </c>
      <c r="E12" s="35" t="s">
        <v>85</v>
      </c>
      <c r="K12" s="39"/>
      <c r="L12" s="39"/>
    </row>
    <row r="13">
      <c r="A13" s="37" t="s">
        <v>142</v>
      </c>
      <c r="B13" s="51"/>
      <c r="C13" s="51"/>
      <c r="D13" s="51"/>
      <c r="E13" s="52"/>
      <c r="K13" s="39"/>
      <c r="L13" s="39"/>
    </row>
    <row r="14">
      <c r="A14" s="37" t="s">
        <v>144</v>
      </c>
      <c r="B14" s="54">
        <f>4099+38+125</f>
        <v>4262</v>
      </c>
      <c r="C14" s="51"/>
      <c r="D14" s="51"/>
      <c r="E14" s="52"/>
      <c r="K14" s="39"/>
      <c r="L14" s="39"/>
    </row>
    <row r="15">
      <c r="A15" s="37" t="s">
        <v>146</v>
      </c>
      <c r="B15" s="51">
        <f t="shared" ref="B15:B16" si="1">$B$10*$C15+$B$9*$D15+$B$7*$E15</f>
        <v>5581.3267</v>
      </c>
      <c r="C15" s="54"/>
      <c r="D15" s="51">
        <f>830*$D$6</f>
        <v>5581.3267</v>
      </c>
      <c r="E15" s="52"/>
      <c r="K15" s="39"/>
      <c r="L15" s="39"/>
    </row>
    <row r="16">
      <c r="A16" s="37" t="s">
        <v>147</v>
      </c>
      <c r="B16" s="51">
        <f t="shared" si="1"/>
        <v>1000</v>
      </c>
      <c r="C16" s="54"/>
      <c r="D16" s="51"/>
      <c r="E16" s="57">
        <v>200.0</v>
      </c>
      <c r="K16" s="39"/>
      <c r="L16" s="39"/>
    </row>
    <row r="17">
      <c r="A17" s="8" t="s">
        <v>148</v>
      </c>
      <c r="B17" s="51">
        <f>852.95*D6</f>
        <v>5735.653746</v>
      </c>
      <c r="C17" s="54"/>
      <c r="D17" s="51"/>
      <c r="E17" s="57"/>
      <c r="K17" s="39"/>
      <c r="L17" s="39"/>
    </row>
    <row r="18">
      <c r="A18" s="8"/>
      <c r="B18" s="51"/>
      <c r="C18" s="54"/>
      <c r="D18" s="51"/>
      <c r="E18" s="57"/>
      <c r="K18" s="39"/>
      <c r="L18" s="39"/>
    </row>
    <row r="19">
      <c r="A19" s="37"/>
      <c r="B19" s="51"/>
      <c r="C19" s="54"/>
      <c r="D19" s="51"/>
      <c r="E19" s="57"/>
      <c r="K19" s="39"/>
      <c r="L19" s="39"/>
    </row>
    <row r="20">
      <c r="A20" s="37"/>
      <c r="B20" s="51"/>
      <c r="C20" s="54"/>
      <c r="D20" s="51"/>
      <c r="E20" s="52"/>
      <c r="K20" s="39"/>
      <c r="L20" s="39"/>
    </row>
    <row r="21">
      <c r="A21" s="37"/>
      <c r="B21" s="51"/>
      <c r="C21" s="54"/>
      <c r="D21" s="62"/>
      <c r="E21" s="52"/>
      <c r="K21" s="39"/>
      <c r="L21" s="39"/>
    </row>
    <row r="22">
      <c r="A22" s="37"/>
      <c r="B22" s="51"/>
      <c r="C22" s="54"/>
      <c r="D22" s="51"/>
      <c r="E22" s="52"/>
      <c r="K22" s="39"/>
      <c r="L22" s="39"/>
    </row>
    <row r="23">
      <c r="A23" s="37"/>
      <c r="B23" s="51"/>
      <c r="C23" s="54"/>
      <c r="D23" s="62"/>
      <c r="E23" s="52"/>
      <c r="K23" s="32"/>
      <c r="L23" s="39"/>
    </row>
    <row r="24">
      <c r="A24" s="37" t="s">
        <v>77</v>
      </c>
      <c r="B24" s="51"/>
      <c r="C24" s="51"/>
      <c r="D24" s="51"/>
      <c r="E24" s="52"/>
      <c r="K24" s="38"/>
      <c r="L24" s="58"/>
    </row>
    <row r="25">
      <c r="A25" s="37"/>
      <c r="B25" s="54"/>
      <c r="C25" s="51"/>
      <c r="D25" s="52"/>
      <c r="E25" s="52"/>
      <c r="G25" s="59"/>
      <c r="K25" s="38"/>
      <c r="L25" s="58"/>
    </row>
    <row r="26">
      <c r="A26" s="37"/>
      <c r="B26" s="51"/>
      <c r="C26" s="54"/>
      <c r="D26" s="51"/>
      <c r="E26" s="57"/>
      <c r="K26" s="39"/>
      <c r="L26" s="39"/>
    </row>
    <row r="27">
      <c r="A27" s="37"/>
      <c r="B27" s="54"/>
      <c r="C27" s="51"/>
      <c r="D27" s="51"/>
      <c r="E27" s="52"/>
      <c r="K27" s="32"/>
      <c r="L27" s="39"/>
    </row>
    <row r="28">
      <c r="A28" s="37"/>
      <c r="B28" s="51"/>
      <c r="C28" s="54"/>
      <c r="D28" s="51"/>
      <c r="E28" s="57"/>
      <c r="K28" s="38"/>
      <c r="L28" s="39"/>
    </row>
    <row r="29">
      <c r="A29" s="37"/>
      <c r="B29" s="51"/>
      <c r="C29" s="54"/>
      <c r="D29" s="62"/>
      <c r="E29" s="52"/>
      <c r="K29" s="38"/>
      <c r="L29" s="39"/>
    </row>
    <row r="30">
      <c r="A30" s="37"/>
      <c r="B30" s="54"/>
      <c r="C30" s="51"/>
      <c r="D30" s="51"/>
      <c r="E30" s="52"/>
      <c r="G30" s="38"/>
      <c r="H30" s="39"/>
    </row>
    <row r="31">
      <c r="A31" s="53" t="s">
        <v>101</v>
      </c>
      <c r="B31" s="66">
        <f>SUM(B13:B22)</f>
        <v>16578.98045</v>
      </c>
      <c r="C31" s="55"/>
      <c r="D31" s="55"/>
      <c r="E31" s="56"/>
      <c r="G31" s="39"/>
      <c r="H31" s="39"/>
    </row>
    <row r="32">
      <c r="G32" s="39"/>
      <c r="H32" s="39"/>
    </row>
    <row r="33">
      <c r="A33" s="3" t="s">
        <v>91</v>
      </c>
      <c r="B33" s="33" t="s">
        <v>102</v>
      </c>
      <c r="C33" s="33" t="s">
        <v>103</v>
      </c>
      <c r="D33" s="33" t="s">
        <v>104</v>
      </c>
      <c r="E33" s="35" t="s">
        <v>105</v>
      </c>
      <c r="G33" s="39"/>
      <c r="H33" s="39"/>
    </row>
    <row r="34">
      <c r="A34" s="37" t="s">
        <v>107</v>
      </c>
      <c r="B34" s="54">
        <v>9000.0</v>
      </c>
      <c r="C34" s="54"/>
      <c r="D34" s="51"/>
      <c r="E34" s="57"/>
      <c r="G34" s="39"/>
      <c r="H34" s="39"/>
    </row>
    <row r="35">
      <c r="A35" s="69"/>
      <c r="B35" s="71"/>
      <c r="C35" s="72"/>
      <c r="D35" s="74"/>
      <c r="E35" s="80"/>
      <c r="G35" s="39"/>
      <c r="H35" s="39"/>
    </row>
    <row r="36">
      <c r="A36" s="37"/>
      <c r="B36" s="51"/>
      <c r="C36" s="54"/>
      <c r="D36" s="51"/>
      <c r="E36" s="52"/>
    </row>
    <row r="37">
      <c r="A37" s="53" t="s">
        <v>101</v>
      </c>
      <c r="B37" s="79">
        <f>SUM(B34:B36)</f>
        <v>9000</v>
      </c>
      <c r="C37" s="60"/>
      <c r="D37" s="60"/>
      <c r="E37" s="60"/>
    </row>
    <row r="38">
      <c r="A38" s="61"/>
      <c r="B38" s="63"/>
      <c r="C38" s="63"/>
      <c r="D38" s="63"/>
      <c r="E38" s="64"/>
    </row>
    <row r="39">
      <c r="A39" s="65" t="s">
        <v>100</v>
      </c>
      <c r="B39" s="81">
        <f>B37-B$31</f>
        <v>-7578.980446</v>
      </c>
      <c r="C39" s="67"/>
      <c r="D39" s="67"/>
      <c r="E39" s="68"/>
    </row>
    <row r="41">
      <c r="A41" s="31" t="s">
        <v>120</v>
      </c>
      <c r="B41" s="33" t="s">
        <v>125</v>
      </c>
      <c r="C41" s="33" t="s">
        <v>126</v>
      </c>
    </row>
    <row r="42">
      <c r="A42" s="37" t="s">
        <v>127</v>
      </c>
      <c r="B42" s="54">
        <v>7500.0</v>
      </c>
      <c r="C42" s="42">
        <f>B42*0</f>
        <v>0</v>
      </c>
    </row>
    <row r="43">
      <c r="A43" s="70"/>
      <c r="B43" s="54" t="s">
        <v>130</v>
      </c>
      <c r="C43" s="42"/>
    </row>
    <row r="44">
      <c r="A44" s="70"/>
      <c r="B44" s="54"/>
      <c r="C44" s="42"/>
    </row>
    <row r="45">
      <c r="A45" s="78"/>
      <c r="B45" s="51"/>
      <c r="C45" s="41"/>
    </row>
    <row r="46">
      <c r="A46" s="53" t="s">
        <v>101</v>
      </c>
      <c r="B46" s="79">
        <f t="shared" ref="B46:C46" si="2">SUM(B42:B45)</f>
        <v>7500</v>
      </c>
      <c r="C46" s="60">
        <f t="shared" si="2"/>
        <v>0</v>
      </c>
    </row>
    <row r="47">
      <c r="A47" s="61"/>
      <c r="B47" s="87"/>
      <c r="C47" s="63"/>
    </row>
    <row r="48">
      <c r="A48" s="65" t="s">
        <v>131</v>
      </c>
      <c r="B48" s="81">
        <f t="shared" ref="B48:C48" si="3">$B$39+B$46</f>
        <v>-78.9804455</v>
      </c>
      <c r="C48" s="81">
        <f t="shared" si="3"/>
        <v>-7578.980446</v>
      </c>
    </row>
    <row r="53">
      <c r="A53" s="84"/>
    </row>
    <row r="54">
      <c r="A54" s="85"/>
    </row>
    <row r="55">
      <c r="A55" s="86"/>
    </row>
    <row r="56">
      <c r="A56" s="85"/>
    </row>
    <row r="58">
      <c r="A58" s="85"/>
    </row>
    <row r="59">
      <c r="A59" s="85"/>
    </row>
    <row r="60">
      <c r="A60" s="85"/>
    </row>
    <row r="61">
      <c r="A61" s="85"/>
    </row>
    <row r="62">
      <c r="A62" s="85"/>
    </row>
    <row r="63">
      <c r="A63" s="85"/>
    </row>
    <row r="64">
      <c r="A64" s="85"/>
    </row>
    <row r="65">
      <c r="A65" s="85"/>
    </row>
    <row r="66">
      <c r="A66" s="85"/>
    </row>
    <row r="67">
      <c r="A67" s="85"/>
    </row>
    <row r="68">
      <c r="A68" s="85"/>
    </row>
    <row r="69">
      <c r="A69" s="85"/>
    </row>
  </sheetData>
  <printOptions gridLines="1" horizontalCentered="1"/>
  <pageMargins bottom="0.75" footer="0.0" header="0.0" left="0.7" right="0.7" top="0.75"/>
  <pageSetup fitToHeight="0" cellComments="atEnd" orientation="portrait" pageOrder="overThenDown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 fitToPage="1"/>
  </sheetPr>
  <sheetViews>
    <sheetView workbookViewId="0"/>
  </sheetViews>
  <sheetFormatPr customHeight="1" defaultColWidth="14.43" defaultRowHeight="15.75"/>
  <cols>
    <col customWidth="1" min="1" max="1" width="60.43"/>
    <col customWidth="1" min="2" max="2" width="28.43"/>
    <col customWidth="1" min="3" max="3" width="23.0"/>
    <col customWidth="1" min="4" max="4" width="22.29"/>
    <col customWidth="1" min="5" max="5" width="20.29"/>
    <col customWidth="1" min="7" max="7" width="21.43"/>
    <col customWidth="1" min="8" max="8" width="16.43"/>
  </cols>
  <sheetData>
    <row r="1">
      <c r="A1" s="29" t="s">
        <v>138</v>
      </c>
      <c r="B1" s="30"/>
      <c r="C1" s="30"/>
      <c r="D1" s="30"/>
      <c r="E1" s="30"/>
      <c r="K1" s="32"/>
      <c r="L1" s="32"/>
    </row>
    <row r="2">
      <c r="A2" s="34" t="s">
        <v>57</v>
      </c>
      <c r="B2" s="34" t="s">
        <v>61</v>
      </c>
      <c r="C2" s="36"/>
      <c r="D2" s="30"/>
      <c r="E2" s="30"/>
      <c r="K2" s="38"/>
      <c r="L2" s="38"/>
    </row>
    <row r="3">
      <c r="K3" s="38"/>
      <c r="L3" s="38"/>
    </row>
    <row r="4">
      <c r="A4" s="3" t="s">
        <v>65</v>
      </c>
      <c r="B4" s="3" t="s">
        <v>66</v>
      </c>
      <c r="D4" s="3" t="s">
        <v>133</v>
      </c>
      <c r="E4" s="3" t="s">
        <v>134</v>
      </c>
      <c r="K4" s="38"/>
      <c r="L4" s="39"/>
    </row>
    <row r="5">
      <c r="A5" s="40" t="s">
        <v>67</v>
      </c>
      <c r="B5" s="45">
        <f>DATE(2019,10,11)</f>
        <v>43749</v>
      </c>
      <c r="D5" s="88">
        <f>IFERROR(__xludf.DUMMYFUNCTION("GOOGLEFINANCE(""CURRENCY:DKKUSD"")"),0.148681)</f>
        <v>0.148681</v>
      </c>
      <c r="E5" s="89" t="s">
        <v>135</v>
      </c>
      <c r="K5" s="38"/>
      <c r="L5" s="47"/>
    </row>
    <row r="6">
      <c r="A6" s="40" t="s">
        <v>69</v>
      </c>
      <c r="B6" s="45">
        <f>DATE(2019,10,16)</f>
        <v>43754</v>
      </c>
      <c r="D6" s="88">
        <f>IFERROR(__xludf.DUMMYFUNCTION("GOOGLEFINANCE(""CURRENCY:USDDKK"")"),6.72449)</f>
        <v>6.72449</v>
      </c>
      <c r="E6" s="89" t="s">
        <v>136</v>
      </c>
      <c r="K6" s="48"/>
      <c r="L6" s="38"/>
    </row>
    <row r="7">
      <c r="A7" s="40" t="s">
        <v>71</v>
      </c>
      <c r="B7" s="49">
        <f>B6-B5</f>
        <v>5</v>
      </c>
      <c r="K7" s="38"/>
      <c r="L7" s="38"/>
    </row>
    <row r="8">
      <c r="A8" s="40" t="s">
        <v>73</v>
      </c>
      <c r="B8" s="49">
        <f>NETWORKDAYS(B5,B6)</f>
        <v>4</v>
      </c>
      <c r="K8" s="39"/>
      <c r="L8" s="39"/>
    </row>
    <row r="9">
      <c r="A9" s="40" t="s">
        <v>75</v>
      </c>
      <c r="B9" s="49">
        <f>round(B7/7)</f>
        <v>1</v>
      </c>
      <c r="K9" s="39"/>
      <c r="L9" s="39"/>
    </row>
    <row r="10">
      <c r="A10" s="40" t="s">
        <v>76</v>
      </c>
      <c r="B10" s="49">
        <f>round(B7/30)</f>
        <v>0</v>
      </c>
      <c r="K10" s="39"/>
      <c r="L10" s="39"/>
    </row>
    <row r="11">
      <c r="K11" s="39"/>
      <c r="L11" s="39"/>
    </row>
    <row r="12">
      <c r="A12" s="31" t="s">
        <v>54</v>
      </c>
      <c r="B12" s="33" t="s">
        <v>82</v>
      </c>
      <c r="C12" s="33" t="s">
        <v>83</v>
      </c>
      <c r="D12" s="33" t="s">
        <v>84</v>
      </c>
      <c r="E12" s="35" t="s">
        <v>85</v>
      </c>
      <c r="K12" s="39"/>
      <c r="L12" s="39"/>
    </row>
    <row r="13">
      <c r="A13" s="37" t="s">
        <v>142</v>
      </c>
      <c r="B13" s="51"/>
      <c r="C13" s="51"/>
      <c r="D13" s="51"/>
      <c r="E13" s="52"/>
      <c r="K13" s="39"/>
      <c r="L13" s="39"/>
    </row>
    <row r="14">
      <c r="A14" s="96" t="s">
        <v>144</v>
      </c>
      <c r="B14" s="98">
        <f>4099+38+125</f>
        <v>4262</v>
      </c>
      <c r="C14" s="99"/>
      <c r="D14" s="99"/>
      <c r="E14" s="100"/>
      <c r="K14" s="39"/>
      <c r="L14" s="39"/>
    </row>
    <row r="15">
      <c r="A15" s="96" t="s">
        <v>151</v>
      </c>
      <c r="B15" s="99">
        <f t="shared" ref="B15:B16" si="1">$B$10*$C15+$B$9*$D15+$B$7*$E15</f>
        <v>2064.5</v>
      </c>
      <c r="C15" s="98"/>
      <c r="D15" s="98">
        <v>2064.5</v>
      </c>
      <c r="E15" s="100"/>
      <c r="K15" s="39"/>
      <c r="L15" s="39"/>
    </row>
    <row r="16">
      <c r="A16" s="37" t="s">
        <v>147</v>
      </c>
      <c r="B16" s="51">
        <f t="shared" si="1"/>
        <v>1000</v>
      </c>
      <c r="C16" s="54"/>
      <c r="D16" s="51"/>
      <c r="E16" s="57">
        <v>200.0</v>
      </c>
      <c r="K16" s="39"/>
      <c r="L16" s="39"/>
    </row>
    <row r="17">
      <c r="A17" s="12" t="s">
        <v>148</v>
      </c>
      <c r="B17" s="104">
        <f>852.95*D6</f>
        <v>5735.653746</v>
      </c>
      <c r="C17" s="105"/>
      <c r="D17" s="104"/>
      <c r="E17" s="106"/>
      <c r="K17" s="39"/>
      <c r="L17" s="39"/>
    </row>
    <row r="18">
      <c r="A18" s="8" t="s">
        <v>152</v>
      </c>
      <c r="B18" s="51">
        <f>192.69</f>
        <v>192.69</v>
      </c>
      <c r="C18" s="54"/>
      <c r="D18" s="51"/>
      <c r="E18" s="57"/>
      <c r="K18" s="39"/>
      <c r="L18" s="39"/>
    </row>
    <row r="19">
      <c r="A19" s="37"/>
      <c r="B19" s="51"/>
      <c r="C19" s="54"/>
      <c r="D19" s="51"/>
      <c r="E19" s="57"/>
      <c r="K19" s="39"/>
      <c r="L19" s="39"/>
    </row>
    <row r="20">
      <c r="A20" s="37"/>
      <c r="B20" s="51"/>
      <c r="C20" s="54"/>
      <c r="D20" s="51"/>
      <c r="E20" s="52"/>
      <c r="K20" s="39"/>
      <c r="L20" s="39"/>
    </row>
    <row r="21">
      <c r="A21" s="37"/>
      <c r="B21" s="51"/>
      <c r="C21" s="54"/>
      <c r="D21" s="62"/>
      <c r="E21" s="52"/>
      <c r="K21" s="39"/>
      <c r="L21" s="39"/>
    </row>
    <row r="22">
      <c r="A22" s="37"/>
      <c r="B22" s="51"/>
      <c r="C22" s="54"/>
      <c r="D22" s="51"/>
      <c r="E22" s="52"/>
      <c r="K22" s="39"/>
      <c r="L22" s="39"/>
    </row>
    <row r="23">
      <c r="A23" s="37"/>
      <c r="B23" s="51"/>
      <c r="C23" s="54"/>
      <c r="D23" s="62"/>
      <c r="E23" s="52"/>
      <c r="K23" s="32"/>
      <c r="L23" s="39"/>
    </row>
    <row r="24">
      <c r="A24" s="37" t="s">
        <v>77</v>
      </c>
      <c r="B24" s="51"/>
      <c r="C24" s="51"/>
      <c r="D24" s="51"/>
      <c r="E24" s="52"/>
      <c r="K24" s="38"/>
      <c r="L24" s="58"/>
    </row>
    <row r="25">
      <c r="A25" s="37"/>
      <c r="B25" s="54"/>
      <c r="C25" s="51"/>
      <c r="D25" s="52"/>
      <c r="E25" s="52"/>
      <c r="G25" s="59"/>
      <c r="K25" s="38"/>
      <c r="L25" s="58"/>
    </row>
    <row r="26">
      <c r="A26" s="37"/>
      <c r="B26" s="51"/>
      <c r="C26" s="54"/>
      <c r="D26" s="51"/>
      <c r="E26" s="57"/>
      <c r="K26" s="39"/>
      <c r="L26" s="39"/>
    </row>
    <row r="27">
      <c r="A27" s="37"/>
      <c r="B27" s="54"/>
      <c r="C27" s="51"/>
      <c r="D27" s="51"/>
      <c r="E27" s="52"/>
      <c r="K27" s="32"/>
      <c r="L27" s="39"/>
    </row>
    <row r="28">
      <c r="A28" s="37"/>
      <c r="B28" s="51"/>
      <c r="C28" s="54"/>
      <c r="D28" s="51"/>
      <c r="E28" s="57"/>
      <c r="K28" s="38"/>
      <c r="L28" s="39"/>
    </row>
    <row r="29">
      <c r="A29" s="37"/>
      <c r="B29" s="51"/>
      <c r="C29" s="54"/>
      <c r="D29" s="62"/>
      <c r="E29" s="52"/>
      <c r="K29" s="38"/>
      <c r="L29" s="39"/>
    </row>
    <row r="30">
      <c r="A30" s="37"/>
      <c r="B30" s="54"/>
      <c r="C30" s="51"/>
      <c r="D30" s="51"/>
      <c r="E30" s="52"/>
      <c r="G30" s="38"/>
      <c r="H30" s="39"/>
    </row>
    <row r="31">
      <c r="A31" s="53" t="s">
        <v>101</v>
      </c>
      <c r="B31" s="66">
        <f>SUM(B13:B22)</f>
        <v>13254.84375</v>
      </c>
      <c r="C31" s="55"/>
      <c r="D31" s="55"/>
      <c r="E31" s="56"/>
      <c r="G31" s="39"/>
      <c r="H31" s="39"/>
    </row>
    <row r="32">
      <c r="G32" s="39"/>
      <c r="H32" s="39"/>
    </row>
    <row r="33">
      <c r="A33" s="3" t="s">
        <v>91</v>
      </c>
      <c r="B33" s="33" t="s">
        <v>102</v>
      </c>
      <c r="C33" s="33" t="s">
        <v>103</v>
      </c>
      <c r="D33" s="33" t="s">
        <v>104</v>
      </c>
      <c r="E33" s="35" t="s">
        <v>105</v>
      </c>
      <c r="G33" s="39"/>
      <c r="H33" s="39"/>
    </row>
    <row r="34">
      <c r="A34" s="37" t="s">
        <v>107</v>
      </c>
      <c r="B34" s="54">
        <v>7500.0</v>
      </c>
      <c r="C34" s="54"/>
      <c r="D34" s="51"/>
      <c r="E34" s="57"/>
      <c r="G34" s="39"/>
      <c r="H34" s="39"/>
    </row>
    <row r="35">
      <c r="A35" s="69"/>
      <c r="B35" s="71"/>
      <c r="C35" s="72"/>
      <c r="D35" s="74"/>
      <c r="E35" s="80"/>
      <c r="G35" s="39"/>
      <c r="H35" s="39"/>
    </row>
    <row r="36">
      <c r="A36" s="37"/>
      <c r="B36" s="51"/>
      <c r="C36" s="54"/>
      <c r="D36" s="51"/>
      <c r="E36" s="52"/>
    </row>
    <row r="37">
      <c r="A37" s="53" t="s">
        <v>101</v>
      </c>
      <c r="B37" s="79">
        <f>SUM(B34:B36)</f>
        <v>7500</v>
      </c>
      <c r="C37" s="60"/>
      <c r="D37" s="60"/>
      <c r="E37" s="60"/>
    </row>
    <row r="38">
      <c r="A38" s="61"/>
      <c r="B38" s="63"/>
      <c r="C38" s="63"/>
      <c r="D38" s="63"/>
      <c r="E38" s="64"/>
    </row>
    <row r="39">
      <c r="A39" s="65" t="s">
        <v>100</v>
      </c>
      <c r="B39" s="81">
        <f>B37-B$31</f>
        <v>-5754.843746</v>
      </c>
      <c r="C39" s="67"/>
      <c r="D39" s="67"/>
      <c r="E39" s="68"/>
    </row>
    <row r="41">
      <c r="A41" s="31" t="s">
        <v>120</v>
      </c>
      <c r="B41" s="33" t="s">
        <v>125</v>
      </c>
      <c r="C41" s="33" t="s">
        <v>126</v>
      </c>
    </row>
    <row r="42">
      <c r="A42" s="37" t="s">
        <v>127</v>
      </c>
      <c r="B42" s="54">
        <v>7500.0</v>
      </c>
      <c r="C42" s="54">
        <f>B42*1</f>
        <v>7500</v>
      </c>
    </row>
    <row r="43">
      <c r="A43" s="37" t="s">
        <v>123</v>
      </c>
      <c r="B43" s="54">
        <v>9000.0</v>
      </c>
      <c r="C43" s="54">
        <v>5500.0</v>
      </c>
    </row>
    <row r="44">
      <c r="A44" s="70"/>
      <c r="B44" s="54"/>
      <c r="C44" s="42"/>
    </row>
    <row r="45">
      <c r="A45" s="78"/>
      <c r="B45" s="51"/>
      <c r="C45" s="41"/>
    </row>
    <row r="46">
      <c r="A46" s="53" t="s">
        <v>101</v>
      </c>
      <c r="B46" s="79">
        <f t="shared" ref="B46:C46" si="2">SUM(B42:B45)</f>
        <v>16500</v>
      </c>
      <c r="C46" s="79">
        <f t="shared" si="2"/>
        <v>13000</v>
      </c>
    </row>
    <row r="47">
      <c r="A47" s="61"/>
      <c r="B47" s="87"/>
      <c r="C47" s="63"/>
    </row>
    <row r="48">
      <c r="A48" s="65" t="s">
        <v>131</v>
      </c>
      <c r="B48" s="81">
        <f t="shared" ref="B48:C48" si="3">$B$39+B$46</f>
        <v>10745.15625</v>
      </c>
      <c r="C48" s="81">
        <f t="shared" si="3"/>
        <v>7245.156255</v>
      </c>
    </row>
    <row r="53">
      <c r="A53" s="84"/>
    </row>
    <row r="54">
      <c r="A54" s="85"/>
    </row>
    <row r="55">
      <c r="A55" s="86"/>
    </row>
    <row r="56">
      <c r="A56" s="85"/>
    </row>
    <row r="58">
      <c r="A58" s="85"/>
    </row>
    <row r="59">
      <c r="A59" s="85"/>
    </row>
    <row r="60">
      <c r="A60" s="85"/>
    </row>
    <row r="61">
      <c r="A61" s="85"/>
    </row>
    <row r="62">
      <c r="A62" s="85"/>
    </row>
    <row r="63">
      <c r="A63" s="85"/>
    </row>
    <row r="64">
      <c r="A64" s="85"/>
    </row>
    <row r="65">
      <c r="A65" s="85"/>
    </row>
    <row r="66">
      <c r="A66" s="85"/>
    </row>
    <row r="67">
      <c r="A67" s="85"/>
    </row>
    <row r="68">
      <c r="A68" s="85"/>
    </row>
    <row r="69">
      <c r="A69" s="85"/>
    </row>
  </sheetData>
  <printOptions gridLines="1" horizontalCentered="1"/>
  <pageMargins bottom="0.75" footer="0.0" header="0.0" left="0.7" right="0.7" top="0.75"/>
  <pageSetup fitToHeight="0" cellComments="atEnd" orientation="portrait" pageOrder="overThenDown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 fitToPage="1"/>
  </sheetPr>
  <sheetViews>
    <sheetView workbookViewId="0"/>
  </sheetViews>
  <sheetFormatPr customHeight="1" defaultColWidth="14.43" defaultRowHeight="15.75"/>
  <cols>
    <col customWidth="1" min="1" max="1" width="57.57"/>
    <col customWidth="1" min="2" max="2" width="28.43"/>
    <col customWidth="1" min="3" max="3" width="23.0"/>
    <col customWidth="1" min="4" max="4" width="22.29"/>
    <col customWidth="1" min="5" max="5" width="20.29"/>
    <col customWidth="1" min="7" max="7" width="21.43"/>
    <col customWidth="1" min="8" max="8" width="16.43"/>
  </cols>
  <sheetData>
    <row r="1">
      <c r="A1" s="29" t="s">
        <v>137</v>
      </c>
      <c r="B1" s="30"/>
      <c r="C1" s="30"/>
      <c r="D1" s="30"/>
      <c r="E1" s="30"/>
      <c r="K1" s="32"/>
      <c r="L1" s="32"/>
    </row>
    <row r="2">
      <c r="A2" s="34" t="s">
        <v>57</v>
      </c>
      <c r="B2" s="34" t="s">
        <v>61</v>
      </c>
      <c r="C2" s="34" t="s">
        <v>139</v>
      </c>
      <c r="D2" s="30"/>
      <c r="E2" s="30"/>
      <c r="K2" s="38"/>
      <c r="L2" s="38"/>
    </row>
    <row r="3">
      <c r="K3" s="38"/>
      <c r="L3" s="38"/>
    </row>
    <row r="4">
      <c r="A4" s="3" t="s">
        <v>140</v>
      </c>
      <c r="B4" s="3" t="s">
        <v>66</v>
      </c>
      <c r="C4" s="90" t="s">
        <v>141</v>
      </c>
      <c r="D4" s="91" t="s">
        <v>143</v>
      </c>
      <c r="E4" s="91" t="s">
        <v>145</v>
      </c>
      <c r="K4" s="38"/>
      <c r="L4" s="39"/>
    </row>
    <row r="5">
      <c r="A5" s="40" t="s">
        <v>67</v>
      </c>
      <c r="B5" s="45">
        <f>DATE(2019,10,11)</f>
        <v>43749</v>
      </c>
      <c r="C5" s="92">
        <f>IFERROR(__xludf.DUMMYFUNCTION("GOOGLEFINANCE(CONCATENATE(""CURRENCY:"",$E5,$D5))"),0.148681)</f>
        <v>0.148681</v>
      </c>
      <c r="D5" s="93" t="s">
        <v>135</v>
      </c>
      <c r="E5" s="94" t="s">
        <v>136</v>
      </c>
      <c r="K5" s="38"/>
      <c r="L5" s="47"/>
    </row>
    <row r="6">
      <c r="A6" s="40" t="s">
        <v>69</v>
      </c>
      <c r="B6" s="45">
        <f>DATE(2019,10,16)</f>
        <v>43754</v>
      </c>
      <c r="C6" s="92">
        <f>IFERROR(__xludf.DUMMYFUNCTION("GOOGLEFINANCE(CONCATENATE(""CURRENCY:"",$E6,$D6))"),8.66395)</f>
        <v>8.66395</v>
      </c>
      <c r="D6" s="95" t="s">
        <v>136</v>
      </c>
      <c r="E6" s="94" t="s">
        <v>149</v>
      </c>
      <c r="K6" s="48"/>
      <c r="L6" s="38"/>
    </row>
    <row r="7">
      <c r="A7" s="40" t="s">
        <v>71</v>
      </c>
      <c r="B7" s="49">
        <f>B6-B5</f>
        <v>5</v>
      </c>
      <c r="C7" s="92">
        <f>IFERROR(__xludf.DUMMYFUNCTION("GOOGLEFINANCE(CONCATENATE(""CURRENCY:"",$E7,$D7))"),7.47037)</f>
        <v>7.47037</v>
      </c>
      <c r="D7" s="95" t="s">
        <v>136</v>
      </c>
      <c r="E7" s="97" t="s">
        <v>150</v>
      </c>
      <c r="K7" s="38"/>
      <c r="L7" s="38"/>
    </row>
    <row r="8">
      <c r="A8" s="40" t="s">
        <v>73</v>
      </c>
      <c r="B8" s="49">
        <f>NETWORKDAYS(B5,B6)</f>
        <v>4</v>
      </c>
      <c r="C8" s="101">
        <f>IFERROR(__xludf.DUMMYFUNCTION("GOOGLEFINANCE(CONCATENATE(""CURRENCY:"",$E8,$D8))"),6.72449)</f>
        <v>6.72449</v>
      </c>
      <c r="D8" s="102" t="s">
        <v>136</v>
      </c>
      <c r="E8" s="103" t="s">
        <v>135</v>
      </c>
      <c r="K8" s="39"/>
      <c r="L8" s="39"/>
    </row>
    <row r="9">
      <c r="A9" s="40" t="s">
        <v>75</v>
      </c>
      <c r="B9" s="49">
        <f>round(B7/7)</f>
        <v>1</v>
      </c>
      <c r="K9" s="39"/>
      <c r="L9" s="39"/>
    </row>
    <row r="10">
      <c r="A10" s="40" t="s">
        <v>76</v>
      </c>
      <c r="B10" s="49">
        <f>round(B7/30)</f>
        <v>0</v>
      </c>
      <c r="K10" s="39"/>
      <c r="L10" s="39"/>
    </row>
    <row r="11">
      <c r="K11" s="39"/>
      <c r="L11" s="39"/>
    </row>
    <row r="12">
      <c r="A12" s="31" t="s">
        <v>54</v>
      </c>
      <c r="B12" s="33" t="s">
        <v>82</v>
      </c>
      <c r="C12" s="33" t="s">
        <v>83</v>
      </c>
      <c r="D12" s="33" t="s">
        <v>84</v>
      </c>
      <c r="E12" s="35" t="s">
        <v>85</v>
      </c>
      <c r="K12" s="39"/>
      <c r="L12" s="39"/>
    </row>
    <row r="13">
      <c r="A13" s="37" t="s">
        <v>142</v>
      </c>
      <c r="B13" s="51"/>
      <c r="C13" s="51"/>
      <c r="D13" s="51"/>
      <c r="E13" s="52"/>
      <c r="K13" s="39"/>
      <c r="L13" s="39"/>
    </row>
    <row r="14">
      <c r="A14" s="37" t="s">
        <v>144</v>
      </c>
      <c r="B14" s="54">
        <f>4099+38+125</f>
        <v>4262</v>
      </c>
      <c r="C14" s="51"/>
      <c r="D14" s="51"/>
      <c r="E14" s="52"/>
      <c r="K14" s="39"/>
      <c r="L14" s="39"/>
    </row>
    <row r="15">
      <c r="A15" s="37" t="s">
        <v>146</v>
      </c>
      <c r="B15" s="51">
        <f t="shared" ref="B15:B16" si="1">$B$10*$C15+$B$9*$D15+$B$7*$E15</f>
        <v>5581.3267</v>
      </c>
      <c r="C15" s="54"/>
      <c r="D15" s="51">
        <f>830*$C$8</f>
        <v>5581.3267</v>
      </c>
      <c r="E15" s="52"/>
      <c r="K15" s="39"/>
      <c r="L15" s="39"/>
    </row>
    <row r="16">
      <c r="A16" s="37" t="s">
        <v>147</v>
      </c>
      <c r="B16" s="51">
        <f t="shared" si="1"/>
        <v>1000</v>
      </c>
      <c r="C16" s="54"/>
      <c r="D16" s="51"/>
      <c r="E16" s="57">
        <v>200.0</v>
      </c>
      <c r="K16" s="39"/>
      <c r="L16" s="39"/>
    </row>
    <row r="17">
      <c r="A17" s="8" t="s">
        <v>148</v>
      </c>
      <c r="B17" s="51">
        <f>852.95*$C$8</f>
        <v>5735.653746</v>
      </c>
      <c r="C17" s="54"/>
      <c r="D17" s="51"/>
      <c r="E17" s="57"/>
      <c r="K17" s="39"/>
      <c r="L17" s="39"/>
    </row>
    <row r="18">
      <c r="A18" s="8" t="s">
        <v>153</v>
      </c>
      <c r="B18" s="51">
        <f>28*C8</f>
        <v>188.28572</v>
      </c>
      <c r="C18" s="54"/>
      <c r="D18" s="51"/>
      <c r="E18" s="57"/>
      <c r="K18" s="39"/>
      <c r="L18" s="39"/>
    </row>
    <row r="19">
      <c r="A19" s="37"/>
      <c r="B19" s="51"/>
      <c r="C19" s="54"/>
      <c r="D19" s="51"/>
      <c r="E19" s="57"/>
      <c r="K19" s="39"/>
      <c r="L19" s="39"/>
    </row>
    <row r="20">
      <c r="A20" s="37"/>
      <c r="B20" s="51"/>
      <c r="C20" s="54"/>
      <c r="D20" s="51"/>
      <c r="E20" s="52"/>
      <c r="K20" s="39"/>
      <c r="L20" s="39"/>
    </row>
    <row r="21">
      <c r="A21" s="37"/>
      <c r="B21" s="51"/>
      <c r="C21" s="54"/>
      <c r="D21" s="62"/>
      <c r="E21" s="52"/>
      <c r="K21" s="39"/>
      <c r="L21" s="39"/>
    </row>
    <row r="22">
      <c r="A22" s="37"/>
      <c r="B22" s="51"/>
      <c r="C22" s="54"/>
      <c r="D22" s="51"/>
      <c r="E22" s="52"/>
      <c r="K22" s="39"/>
      <c r="L22" s="39"/>
    </row>
    <row r="23">
      <c r="A23" s="37"/>
      <c r="B23" s="51"/>
      <c r="C23" s="54"/>
      <c r="D23" s="62"/>
      <c r="E23" s="52"/>
      <c r="K23" s="32"/>
      <c r="L23" s="39"/>
    </row>
    <row r="24">
      <c r="A24" s="37" t="s">
        <v>77</v>
      </c>
      <c r="B24" s="51"/>
      <c r="C24" s="51"/>
      <c r="D24" s="51"/>
      <c r="E24" s="52"/>
      <c r="K24" s="38"/>
      <c r="L24" s="58"/>
    </row>
    <row r="25">
      <c r="A25" s="37"/>
      <c r="B25" s="54"/>
      <c r="C25" s="51"/>
      <c r="D25" s="52"/>
      <c r="E25" s="52"/>
      <c r="G25" s="59"/>
      <c r="K25" s="38"/>
      <c r="L25" s="58"/>
    </row>
    <row r="26">
      <c r="A26" s="37"/>
      <c r="B26" s="51"/>
      <c r="C26" s="54"/>
      <c r="D26" s="51"/>
      <c r="E26" s="57"/>
      <c r="K26" s="39"/>
      <c r="L26" s="39"/>
    </row>
    <row r="27">
      <c r="A27" s="37"/>
      <c r="B27" s="54"/>
      <c r="C27" s="51"/>
      <c r="D27" s="51"/>
      <c r="E27" s="52"/>
      <c r="K27" s="32"/>
      <c r="L27" s="39"/>
    </row>
    <row r="28">
      <c r="A28" s="37"/>
      <c r="B28" s="51"/>
      <c r="C28" s="54"/>
      <c r="D28" s="51"/>
      <c r="E28" s="57"/>
      <c r="K28" s="38"/>
      <c r="L28" s="39"/>
    </row>
    <row r="29">
      <c r="A29" s="37"/>
      <c r="B29" s="51"/>
      <c r="C29" s="54"/>
      <c r="D29" s="62"/>
      <c r="E29" s="52"/>
      <c r="K29" s="38"/>
      <c r="L29" s="39"/>
    </row>
    <row r="30">
      <c r="A30" s="37"/>
      <c r="B30" s="54"/>
      <c r="C30" s="51"/>
      <c r="D30" s="51"/>
      <c r="E30" s="52"/>
      <c r="G30" s="38"/>
      <c r="H30" s="39"/>
    </row>
    <row r="31">
      <c r="A31" s="53" t="s">
        <v>101</v>
      </c>
      <c r="B31" s="66">
        <f>SUM(B13:B22)</f>
        <v>16767.26617</v>
      </c>
      <c r="C31" s="55"/>
      <c r="D31" s="55"/>
      <c r="E31" s="56"/>
      <c r="G31" s="39"/>
      <c r="H31" s="39"/>
    </row>
    <row r="32">
      <c r="G32" s="39"/>
      <c r="H32" s="39"/>
    </row>
    <row r="33">
      <c r="A33" s="3" t="s">
        <v>91</v>
      </c>
      <c r="B33" s="33" t="s">
        <v>102</v>
      </c>
      <c r="C33" s="33" t="s">
        <v>103</v>
      </c>
      <c r="D33" s="33" t="s">
        <v>104</v>
      </c>
      <c r="E33" s="35" t="s">
        <v>105</v>
      </c>
      <c r="G33" s="39"/>
      <c r="H33" s="39"/>
    </row>
    <row r="34">
      <c r="A34" s="37" t="s">
        <v>107</v>
      </c>
      <c r="B34" s="54">
        <v>7500.0</v>
      </c>
      <c r="C34" s="54"/>
      <c r="D34" s="51"/>
      <c r="E34" s="57"/>
      <c r="G34" s="39"/>
      <c r="H34" s="39"/>
    </row>
    <row r="35">
      <c r="A35" s="69"/>
      <c r="B35" s="71"/>
      <c r="C35" s="72"/>
      <c r="D35" s="74"/>
      <c r="E35" s="80"/>
      <c r="G35" s="39"/>
      <c r="H35" s="39"/>
    </row>
    <row r="36">
      <c r="A36" s="37"/>
      <c r="B36" s="51"/>
      <c r="C36" s="54"/>
      <c r="D36" s="51"/>
      <c r="E36" s="52"/>
    </row>
    <row r="37">
      <c r="A37" s="53" t="s">
        <v>101</v>
      </c>
      <c r="B37" s="79">
        <f>SUM(B34:B36)</f>
        <v>7500</v>
      </c>
      <c r="C37" s="60"/>
      <c r="D37" s="60"/>
      <c r="E37" s="60"/>
    </row>
    <row r="38">
      <c r="A38" s="61"/>
      <c r="B38" s="63"/>
      <c r="C38" s="63"/>
      <c r="D38" s="63"/>
      <c r="E38" s="64"/>
    </row>
    <row r="39">
      <c r="A39" s="65" t="s">
        <v>100</v>
      </c>
      <c r="B39" s="81">
        <f>B37-B$31</f>
        <v>-9267.266166</v>
      </c>
      <c r="C39" s="67"/>
      <c r="D39" s="67"/>
      <c r="E39" s="68"/>
    </row>
    <row r="41">
      <c r="A41" s="31" t="s">
        <v>120</v>
      </c>
      <c r="B41" s="33" t="s">
        <v>125</v>
      </c>
      <c r="C41" s="33" t="s">
        <v>126</v>
      </c>
    </row>
    <row r="42">
      <c r="A42" s="37" t="s">
        <v>123</v>
      </c>
      <c r="B42" s="54">
        <v>9000.0</v>
      </c>
      <c r="C42" s="42">
        <f>B42*0</f>
        <v>0</v>
      </c>
    </row>
    <row r="43">
      <c r="A43" s="70"/>
      <c r="B43" s="54" t="s">
        <v>130</v>
      </c>
      <c r="C43" s="42"/>
    </row>
    <row r="44">
      <c r="A44" s="70"/>
      <c r="B44" s="54"/>
      <c r="C44" s="42"/>
    </row>
    <row r="45">
      <c r="A45" s="78"/>
      <c r="B45" s="51"/>
      <c r="C45" s="41"/>
    </row>
    <row r="46">
      <c r="A46" s="53" t="s">
        <v>101</v>
      </c>
      <c r="B46" s="79">
        <f t="shared" ref="B46:C46" si="2">SUM(B42:B45)</f>
        <v>9000</v>
      </c>
      <c r="C46" s="60">
        <f t="shared" si="2"/>
        <v>0</v>
      </c>
    </row>
    <row r="47">
      <c r="A47" s="61"/>
      <c r="B47" s="87"/>
      <c r="C47" s="63"/>
    </row>
    <row r="48">
      <c r="A48" s="65" t="s">
        <v>131</v>
      </c>
      <c r="B48" s="81">
        <f t="shared" ref="B48:C48" si="3">$B$39+B$46</f>
        <v>-267.2661655</v>
      </c>
      <c r="C48" s="81">
        <f t="shared" si="3"/>
        <v>-9267.266166</v>
      </c>
    </row>
    <row r="53">
      <c r="A53" s="84"/>
    </row>
    <row r="54">
      <c r="A54" s="85"/>
    </row>
    <row r="55">
      <c r="A55" s="86"/>
    </row>
    <row r="56">
      <c r="A56" s="85"/>
    </row>
    <row r="58">
      <c r="A58" s="85"/>
    </row>
    <row r="59">
      <c r="A59" s="85"/>
    </row>
    <row r="60">
      <c r="A60" s="85"/>
    </row>
    <row r="61">
      <c r="A61" s="85"/>
    </row>
    <row r="62">
      <c r="A62" s="85"/>
    </row>
    <row r="63">
      <c r="A63" s="85"/>
    </row>
    <row r="64">
      <c r="A64" s="85"/>
    </row>
    <row r="65">
      <c r="A65" s="85"/>
    </row>
    <row r="66">
      <c r="A66" s="85"/>
    </row>
    <row r="67">
      <c r="A67" s="85"/>
    </row>
    <row r="68">
      <c r="A68" s="85"/>
    </row>
    <row r="69">
      <c r="A69" s="85"/>
    </row>
  </sheetData>
  <printOptions gridLines="1" horizontalCentered="1"/>
  <pageMargins bottom="0.75" footer="0.0" header="0.0" left="0.7" right="0.7" top="0.75"/>
  <pageSetup fitToHeight="0" cellComments="atEnd" orientation="portrait" pageOrder="overThenDown"/>
  <drawing r:id="rId1"/>
</worksheet>
</file>